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5" activeTab="7"/>
  </bookViews>
  <sheets>
    <sheet name="Front Major " sheetId="1" r:id="rId1"/>
    <sheet name="Front Minor" sheetId="2" r:id="rId2"/>
    <sheet name="Mineralwise Minor " sheetId="3" r:id="rId3"/>
    <sheet name="Office minor" sheetId="4" r:id="rId4"/>
    <sheet name="District Minor " sheetId="5" r:id="rId5"/>
    <sheet name="Mineral wise Major" sheetId="6" r:id="rId6"/>
    <sheet name="Officewise Major" sheetId="7" r:id="rId7"/>
    <sheet name="Distt. Major" sheetId="8" r:id="rId8"/>
  </sheets>
  <definedNames>
    <definedName name="_xlnm.Print_Area" localSheetId="4">'District Minor '!$A$1:$H$397</definedName>
    <definedName name="_xlnm.Print_Area" localSheetId="7">'Distt. Major'!$A$1:$H$315</definedName>
    <definedName name="_xlnm.Print_Area" localSheetId="0">'Front Major '!$A$1:$I$49</definedName>
    <definedName name="_xlnm.Print_Area" localSheetId="1">'Front Minor'!$A$1:$H$33</definedName>
    <definedName name="_xlnm.Print_Area" localSheetId="3">'Office minor'!$A$1:$H$448</definedName>
    <definedName name="_xlnm.Print_Titles" localSheetId="2">'Mineralwise Minor '!$2:$2</definedName>
    <definedName name="_xlnm.Print_Titles" localSheetId="3">'Office minor'!$2:$2</definedName>
  </definedNames>
  <calcPr fullCalcOnLoad="1"/>
</workbook>
</file>

<file path=xl/sharedStrings.xml><?xml version="1.0" encoding="utf-8"?>
<sst xmlns="http://schemas.openxmlformats.org/spreadsheetml/2006/main" count="4276" uniqueCount="242">
  <si>
    <t xml:space="preserve"> Mines &amp; Geology Department, Udaipur</t>
  </si>
  <si>
    <t>MAJOR MINERAL STATISTICS</t>
  </si>
  <si>
    <t xml:space="preserve">                    YEAR 2006-07                      </t>
  </si>
  <si>
    <t>S.No.</t>
  </si>
  <si>
    <t>Minerals</t>
  </si>
  <si>
    <t>Leases</t>
  </si>
  <si>
    <t>Area</t>
  </si>
  <si>
    <t>Production</t>
  </si>
  <si>
    <t>Sale Value</t>
  </si>
  <si>
    <t>Revenue</t>
  </si>
  <si>
    <t>Employ-ment</t>
  </si>
  <si>
    <t>(in Hector)</t>
  </si>
  <si>
    <t>(000 Tons)</t>
  </si>
  <si>
    <t>(Rs.in Lacs )</t>
  </si>
  <si>
    <t>(Rs.in 000 )</t>
  </si>
  <si>
    <t>(Nos.)</t>
  </si>
  <si>
    <t xml:space="preserve">COPPER  </t>
  </si>
  <si>
    <t>GOLD         ('Kgs)</t>
  </si>
  <si>
    <t>I</t>
  </si>
  <si>
    <t xml:space="preserve">IRON ORE  </t>
  </si>
  <si>
    <t xml:space="preserve">LEAD ZINC (ROM)  </t>
  </si>
  <si>
    <t xml:space="preserve">MANGANESE  </t>
  </si>
  <si>
    <t>SILVER           ('Kgs)</t>
  </si>
  <si>
    <t xml:space="preserve">ASBESTOS  </t>
  </si>
  <si>
    <t xml:space="preserve">BALL CLAY  </t>
  </si>
  <si>
    <t xml:space="preserve">BARYTES  </t>
  </si>
  <si>
    <t>CADMIUM   (' Tons)</t>
  </si>
  <si>
    <t xml:space="preserve">CALCITE  </t>
  </si>
  <si>
    <t xml:space="preserve">CHINA CLAY  </t>
  </si>
  <si>
    <t xml:space="preserve">DOLOMITE   </t>
  </si>
  <si>
    <t>EMERALD CRUDE   (' Tons)</t>
  </si>
  <si>
    <t>EPIDOTE</t>
  </si>
  <si>
    <t xml:space="preserve">FELSPAR  </t>
  </si>
  <si>
    <t xml:space="preserve">FIRE CLAY  </t>
  </si>
  <si>
    <t xml:space="preserve">FLOURITE  </t>
  </si>
  <si>
    <t xml:space="preserve">GARNET (Abr. &amp; Cr.) (' Tons) </t>
  </si>
  <si>
    <t xml:space="preserve">GRAPHITE  </t>
  </si>
  <si>
    <t xml:space="preserve">GYPSUM  </t>
  </si>
  <si>
    <t xml:space="preserve">JASPER  </t>
  </si>
  <si>
    <t>KYANITE   (' Tons)</t>
  </si>
  <si>
    <t xml:space="preserve">LIGNITE  </t>
  </si>
  <si>
    <t xml:space="preserve">LIMESTONE  </t>
  </si>
  <si>
    <t>MAGNESITE   (' Tons)</t>
  </si>
  <si>
    <t>MICA        (' Tons)</t>
  </si>
  <si>
    <t xml:space="preserve">OCHRES  </t>
  </si>
  <si>
    <t xml:space="preserve">PHYROPHILITE  </t>
  </si>
  <si>
    <t xml:space="preserve">QUARTZ  </t>
  </si>
  <si>
    <t xml:space="preserve">ROCK-PHOSPHATE  </t>
  </si>
  <si>
    <t xml:space="preserve">SELENITE  </t>
  </si>
  <si>
    <t xml:space="preserve">SILICA SAND  </t>
  </si>
  <si>
    <t xml:space="preserve">SILICEOUS EARTH  </t>
  </si>
  <si>
    <t>SILLIMANITE  (' Tons)</t>
  </si>
  <si>
    <t xml:space="preserve">SOAP STONE  </t>
  </si>
  <si>
    <t>VERMICULITE  (' Tons)</t>
  </si>
  <si>
    <t xml:space="preserve">WOLLASTONITE  </t>
  </si>
  <si>
    <t xml:space="preserve">MISC. INCOME </t>
  </si>
  <si>
    <t>Gr. Total</t>
  </si>
  <si>
    <t>Total Production of Minerals, after Converting Kg &amp; Tons to '000 Tons</t>
  </si>
  <si>
    <t>SALE VALUE CALCULATED AS PER ME BHILWARA/ AVERAGE LME / IBM  PRICE FOR 2006-07</t>
  </si>
  <si>
    <t>Mines &amp; Geology Department, Udaipur</t>
  </si>
  <si>
    <t xml:space="preserve"> Ajmer</t>
  </si>
  <si>
    <t>S.L.</t>
  </si>
  <si>
    <t>Mineral</t>
  </si>
  <si>
    <t>Employment</t>
  </si>
  <si>
    <t>('000 Tons)</t>
  </si>
  <si>
    <t>(Rs. In Lacs)</t>
  </si>
  <si>
    <t>(Rs. In Thousands)</t>
  </si>
  <si>
    <t>Lead Zinc (ROM)</t>
  </si>
  <si>
    <t>Asbestos</t>
  </si>
  <si>
    <t>Emerald Crude</t>
  </si>
  <si>
    <t>Felspar</t>
  </si>
  <si>
    <t>Garnet(Abr.&amp; Crude)</t>
  </si>
  <si>
    <t>Limestone</t>
  </si>
  <si>
    <t>Magnesite</t>
  </si>
  <si>
    <t xml:space="preserve">Mica  </t>
  </si>
  <si>
    <t>Quartz</t>
  </si>
  <si>
    <t>Soapstone</t>
  </si>
  <si>
    <t>Vermiculite</t>
  </si>
  <si>
    <t>Wollastonite</t>
  </si>
  <si>
    <t>Misc. Income</t>
  </si>
  <si>
    <t>Total</t>
  </si>
  <si>
    <t>Alwar</t>
  </si>
  <si>
    <t>China Clay</t>
  </si>
  <si>
    <t>Calcite</t>
  </si>
  <si>
    <t>Iron ore</t>
  </si>
  <si>
    <t>Barytes</t>
  </si>
  <si>
    <t>Phyrophilite</t>
  </si>
  <si>
    <t>Silica Sand</t>
  </si>
  <si>
    <t>Bharatpur</t>
  </si>
  <si>
    <t>Ochres</t>
  </si>
  <si>
    <t>Fire Clay</t>
  </si>
  <si>
    <t>Banswara</t>
  </si>
  <si>
    <t>Manganese</t>
  </si>
  <si>
    <t>Dolomite</t>
  </si>
  <si>
    <t>Graphite</t>
  </si>
  <si>
    <t>Barmer</t>
  </si>
  <si>
    <t>Selenite</t>
  </si>
  <si>
    <t>Siliceous Earth</t>
  </si>
  <si>
    <t>Lignite</t>
  </si>
  <si>
    <t xml:space="preserve"> Bikaner</t>
  </si>
  <si>
    <t>Ball Clay</t>
  </si>
  <si>
    <t>Gypsum</t>
  </si>
  <si>
    <t>Bhilwara</t>
  </si>
  <si>
    <t>Silver (Kgs.)</t>
  </si>
  <si>
    <t>Kyanite</t>
  </si>
  <si>
    <t xml:space="preserve">Mica   </t>
  </si>
  <si>
    <t>Pyrophyllite</t>
  </si>
  <si>
    <t>Cadmium</t>
  </si>
  <si>
    <t xml:space="preserve"> Bundi</t>
  </si>
  <si>
    <t>Chittorgarh</t>
  </si>
  <si>
    <t>Dausa</t>
  </si>
  <si>
    <t>Dungarpur</t>
  </si>
  <si>
    <t>Fluorite</t>
  </si>
  <si>
    <t>Jalore</t>
  </si>
  <si>
    <t>Jaipur</t>
  </si>
  <si>
    <t>Mica</t>
  </si>
  <si>
    <t>Jodhpur</t>
  </si>
  <si>
    <t>Jasper</t>
  </si>
  <si>
    <t xml:space="preserve"> Jaiselmer</t>
  </si>
  <si>
    <t>Limestone(SMS)</t>
  </si>
  <si>
    <t>JHUNJHUNU</t>
  </si>
  <si>
    <t>Copper</t>
  </si>
  <si>
    <t>Gold (Kg.)</t>
  </si>
  <si>
    <t>Silver (Kg.)</t>
  </si>
  <si>
    <t>Karoli</t>
  </si>
  <si>
    <t>Kota</t>
  </si>
  <si>
    <t>Nagaur</t>
  </si>
  <si>
    <t xml:space="preserve">Rajsamand </t>
  </si>
  <si>
    <t>Sikar</t>
  </si>
  <si>
    <t>Sirohi</t>
  </si>
  <si>
    <t>Pali</t>
  </si>
  <si>
    <t>Hanumangarh</t>
  </si>
  <si>
    <t>Shri Ganganagar</t>
  </si>
  <si>
    <t>Sawai Madhopur</t>
  </si>
  <si>
    <t xml:space="preserve"> Tonk</t>
  </si>
  <si>
    <t>Feslpar</t>
  </si>
  <si>
    <t>Udaipur</t>
  </si>
  <si>
    <t>Rock-Phosphate</t>
  </si>
  <si>
    <t>Flourspar</t>
  </si>
  <si>
    <t>Sillimanite</t>
  </si>
  <si>
    <t>Gr.Total</t>
  </si>
  <si>
    <t>Office</t>
  </si>
  <si>
    <t>ME Sikar</t>
  </si>
  <si>
    <t>TOTAL</t>
  </si>
  <si>
    <t>('Kgs.)</t>
  </si>
  <si>
    <t>ME Alwar</t>
  </si>
  <si>
    <t>ME Jaipur</t>
  </si>
  <si>
    <t>AME Kotputli</t>
  </si>
  <si>
    <t>ME Ajmer</t>
  </si>
  <si>
    <t>ME Bhilwara</t>
  </si>
  <si>
    <t>ME Rajsamand II</t>
  </si>
  <si>
    <t>ME Udaipur</t>
  </si>
  <si>
    <t>AME Banswara</t>
  </si>
  <si>
    <t>ME Aamet</t>
  </si>
  <si>
    <t>ME Sojat City</t>
  </si>
  <si>
    <t>ME Bikaner</t>
  </si>
  <si>
    <t>AME Jaiselmer</t>
  </si>
  <si>
    <t>Cadmium  (Tons)</t>
  </si>
  <si>
    <t>(Tons)</t>
  </si>
  <si>
    <t>ME Sirohi</t>
  </si>
  <si>
    <t>AME Salumber</t>
  </si>
  <si>
    <t>AME Barmer</t>
  </si>
  <si>
    <t>ME Bijoliya</t>
  </si>
  <si>
    <t>ME Bundi II</t>
  </si>
  <si>
    <t>ME Chittorgarh</t>
  </si>
  <si>
    <t>AME Gotan</t>
  </si>
  <si>
    <t>AME Nimbahera</t>
  </si>
  <si>
    <t>ME Karoli</t>
  </si>
  <si>
    <t>Epidote</t>
  </si>
  <si>
    <t>AME Dungarpur</t>
  </si>
  <si>
    <t>ME Jalore</t>
  </si>
  <si>
    <t>ME Bharatpur</t>
  </si>
  <si>
    <t>ME Rajsamand I</t>
  </si>
  <si>
    <t>AME Tonk</t>
  </si>
  <si>
    <t>ME Nagaur</t>
  </si>
  <si>
    <t>AME Shri Ganganagar</t>
  </si>
  <si>
    <t>ME Jodhpur</t>
  </si>
  <si>
    <t>ME Kota</t>
  </si>
  <si>
    <t>ME Ramganj Mandi</t>
  </si>
  <si>
    <t>AME Kherwara</t>
  </si>
  <si>
    <t>Gr. TOTAL</t>
  </si>
  <si>
    <t>Mica   (Tons)</t>
  </si>
  <si>
    <t>Gr.TOTAL</t>
  </si>
  <si>
    <t>MINOR MINERAL STATISTICS</t>
  </si>
  <si>
    <t>Bantonite</t>
  </si>
  <si>
    <t>Brick Earth</t>
  </si>
  <si>
    <t>Chert</t>
  </si>
  <si>
    <t>Chips Power</t>
  </si>
  <si>
    <t>Granite</t>
  </si>
  <si>
    <t>Kankar-Bajri</t>
  </si>
  <si>
    <t>Limestone (Burning)</t>
  </si>
  <si>
    <t>Limestone (Dimnl.)</t>
  </si>
  <si>
    <t>Marble</t>
  </si>
  <si>
    <t>Masonary Stone</t>
  </si>
  <si>
    <t>Mill stone</t>
  </si>
  <si>
    <t>Murrum</t>
  </si>
  <si>
    <t>Patti Katla</t>
  </si>
  <si>
    <t>Quartzite</t>
  </si>
  <si>
    <t>Rhyolite</t>
  </si>
  <si>
    <t>Salt Petre</t>
  </si>
  <si>
    <t>Sandstone</t>
  </si>
  <si>
    <t>Serpentine</t>
  </si>
  <si>
    <t>Shale</t>
  </si>
  <si>
    <t>Slate Stone</t>
  </si>
  <si>
    <t>Income From Govt. Deptt.</t>
  </si>
  <si>
    <t>Misc. Revenue</t>
  </si>
  <si>
    <t>NOTE</t>
  </si>
  <si>
    <t>SALE VALUE CALCULATED AS PER ME / AVERAGE PRICE OF PRV. YEAR WHERE NIL SALE VALUE INDICATED IN ME REPORTS</t>
  </si>
  <si>
    <r>
      <t>Fuller's Earth /</t>
    </r>
    <r>
      <rPr>
        <sz val="10"/>
        <rFont val="Kruti Dev 010"/>
        <family val="0"/>
      </rPr>
      <t>fpduh feVVh @[kfM;k feVVh</t>
    </r>
  </si>
  <si>
    <t xml:space="preserve">                                          </t>
  </si>
  <si>
    <t>Office Name</t>
  </si>
  <si>
    <t>AME Jhalawar</t>
  </si>
  <si>
    <t>ME Bundi -I</t>
  </si>
  <si>
    <t>ME Dholpur</t>
  </si>
  <si>
    <t>ME Sojatcity</t>
  </si>
  <si>
    <t>Chips Powder</t>
  </si>
  <si>
    <t>AME Nimbaheda</t>
  </si>
  <si>
    <t>ME Bundi -II</t>
  </si>
  <si>
    <t>AME Balesar</t>
  </si>
  <si>
    <t>ME Bijolia</t>
  </si>
  <si>
    <t>ME Makrana</t>
  </si>
  <si>
    <t>ME Nagore</t>
  </si>
  <si>
    <t>Murram</t>
  </si>
  <si>
    <t>Inc. from Govt. Deptt.</t>
  </si>
  <si>
    <r>
      <t>Fuller's Earth /</t>
    </r>
    <r>
      <rPr>
        <b/>
        <sz val="14"/>
        <rFont val="Kruti Dev 010"/>
        <family val="0"/>
      </rPr>
      <t>fpduh feVVh @[kfM;k feVVh</t>
    </r>
  </si>
  <si>
    <t>Fuller's Earth</t>
  </si>
  <si>
    <t>Kharia Mitti</t>
  </si>
  <si>
    <t>Chikani Mitti</t>
  </si>
  <si>
    <t>Ajmer</t>
  </si>
  <si>
    <t>Inco.from Govt.Deptt.</t>
  </si>
  <si>
    <t xml:space="preserve"> </t>
  </si>
  <si>
    <t xml:space="preserve">Baran </t>
  </si>
  <si>
    <t>Bikaner</t>
  </si>
  <si>
    <t xml:space="preserve">Bundi </t>
  </si>
  <si>
    <t>Inc. From Govt. Deptt.</t>
  </si>
  <si>
    <t>Churu</t>
  </si>
  <si>
    <t>Dholpur</t>
  </si>
  <si>
    <t>Jaiselmer</t>
  </si>
  <si>
    <t>Jhalawar</t>
  </si>
  <si>
    <t>Jhunjhunu</t>
  </si>
  <si>
    <t>Nagore</t>
  </si>
  <si>
    <t>Tonk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</si>
</sst>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0.00;[Red]0.00"/>
    <numFmt numFmtId="181" formatCode="0.000000"/>
    <numFmt numFmtId="182" formatCode="0.0000E+00"/>
    <numFmt numFmtId="183" formatCode="0.000E+00"/>
    <numFmt numFmtId="184" formatCode="0.0E+00"/>
    <numFmt numFmtId="185" formatCode="0E+00"/>
    <numFmt numFmtId="186" formatCode="0.00000000000000"/>
    <numFmt numFmtId="187" formatCode="0.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"/>
    <numFmt numFmtId="193" formatCode="0.0000000"/>
    <numFmt numFmtId="194" formatCode="00000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22"/>
      <name val="Times New Roman"/>
      <family val="1"/>
    </font>
    <font>
      <sz val="16"/>
      <name val="Courier New"/>
      <family val="3"/>
    </font>
    <font>
      <sz val="12"/>
      <name val="Times New Roman"/>
      <family val="1"/>
    </font>
    <font>
      <sz val="12"/>
      <name val="Courier New"/>
      <family val="3"/>
    </font>
    <font>
      <sz val="14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name val="ITC Zapf Dingbats"/>
      <family val="1"/>
    </font>
    <font>
      <b/>
      <sz val="12"/>
      <name val="Times New Roman"/>
      <family val="1"/>
    </font>
    <font>
      <sz val="12"/>
      <name val="Arial"/>
      <family val="0"/>
    </font>
    <font>
      <sz val="11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sz val="18"/>
      <name val="Arial"/>
      <family val="2"/>
    </font>
    <font>
      <sz val="10"/>
      <name val="Kruti Dev 010"/>
      <family val="0"/>
    </font>
    <font>
      <sz val="10"/>
      <name val="Times New Roman"/>
      <family val="1"/>
    </font>
    <font>
      <b/>
      <sz val="14"/>
      <name val="Arial"/>
      <family val="0"/>
    </font>
    <font>
      <b/>
      <sz val="9"/>
      <name val="Times New Roman"/>
      <family val="1"/>
    </font>
    <font>
      <sz val="11"/>
      <name val="Courier New"/>
      <family val="3"/>
    </font>
    <font>
      <b/>
      <sz val="14"/>
      <name val="Kruti Dev 010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textRotation="90"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/>
    </xf>
    <xf numFmtId="2" fontId="13" fillId="0" borderId="1" xfId="0" applyNumberFormat="1" applyFont="1" applyFill="1" applyBorder="1" applyAlignment="1">
      <alignment/>
    </xf>
    <xf numFmtId="177" fontId="13" fillId="0" borderId="1" xfId="0" applyNumberFormat="1" applyFont="1" applyFill="1" applyBorder="1" applyAlignment="1">
      <alignment/>
    </xf>
    <xf numFmtId="177" fontId="14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0" xfId="0" applyFont="1" applyFill="1" applyAlignment="1">
      <alignment/>
    </xf>
    <xf numFmtId="0" fontId="15" fillId="0" borderId="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2" fontId="16" fillId="0" borderId="0" xfId="0" applyNumberFormat="1" applyFont="1" applyFill="1" applyAlignment="1">
      <alignment/>
    </xf>
    <xf numFmtId="177" fontId="16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77" fontId="14" fillId="0" borderId="1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/>
    </xf>
    <xf numFmtId="0" fontId="6" fillId="0" borderId="2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2" fontId="13" fillId="0" borderId="2" xfId="0" applyNumberFormat="1" applyFont="1" applyFill="1" applyBorder="1" applyAlignment="1">
      <alignment/>
    </xf>
    <xf numFmtId="177" fontId="16" fillId="0" borderId="2" xfId="0" applyNumberFormat="1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11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left" vertical="center" wrapText="1"/>
    </xf>
    <xf numFmtId="177" fontId="19" fillId="0" borderId="1" xfId="0" applyNumberFormat="1" applyFont="1" applyFill="1" applyBorder="1" applyAlignment="1">
      <alignment horizontal="left" vertical="center" wrapText="1"/>
    </xf>
    <xf numFmtId="177" fontId="13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/>
    </xf>
    <xf numFmtId="0" fontId="16" fillId="0" borderId="1" xfId="0" applyFont="1" applyFill="1" applyBorder="1" applyAlignment="1">
      <alignment horizontal="left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6" fillId="0" borderId="4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2" fontId="16" fillId="0" borderId="4" xfId="0" applyNumberFormat="1" applyFont="1" applyFill="1" applyBorder="1" applyAlignment="1">
      <alignment/>
    </xf>
    <xf numFmtId="177" fontId="16" fillId="0" borderId="4" xfId="0" applyNumberFormat="1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2" fontId="16" fillId="0" borderId="3" xfId="0" applyNumberFormat="1" applyFont="1" applyFill="1" applyBorder="1" applyAlignment="1">
      <alignment/>
    </xf>
    <xf numFmtId="177" fontId="16" fillId="0" borderId="1" xfId="0" applyNumberFormat="1" applyFont="1" applyFill="1" applyBorder="1" applyAlignment="1">
      <alignment/>
    </xf>
    <xf numFmtId="0" fontId="17" fillId="0" borderId="1" xfId="0" applyFont="1" applyFill="1" applyBorder="1" applyAlignment="1">
      <alignment/>
    </xf>
    <xf numFmtId="2" fontId="16" fillId="0" borderId="1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6" fillId="0" borderId="5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2" fontId="16" fillId="0" borderId="5" xfId="0" applyNumberFormat="1" applyFont="1" applyFill="1" applyBorder="1" applyAlignment="1">
      <alignment/>
    </xf>
    <xf numFmtId="177" fontId="16" fillId="0" borderId="5" xfId="0" applyNumberFormat="1" applyFont="1" applyFill="1" applyBorder="1" applyAlignment="1">
      <alignment/>
    </xf>
    <xf numFmtId="0" fontId="17" fillId="0" borderId="5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6" fillId="0" borderId="6" xfId="0" applyFont="1" applyFill="1" applyBorder="1" applyAlignment="1">
      <alignment/>
    </xf>
    <xf numFmtId="0" fontId="16" fillId="0" borderId="6" xfId="0" applyFont="1" applyFill="1" applyBorder="1" applyAlignment="1">
      <alignment/>
    </xf>
    <xf numFmtId="2" fontId="16" fillId="0" borderId="6" xfId="0" applyNumberFormat="1" applyFont="1" applyFill="1" applyBorder="1" applyAlignment="1">
      <alignment/>
    </xf>
    <xf numFmtId="177" fontId="16" fillId="0" borderId="6" xfId="0" applyNumberFormat="1" applyFont="1" applyFill="1" applyBorder="1" applyAlignment="1">
      <alignment/>
    </xf>
    <xf numFmtId="0" fontId="17" fillId="0" borderId="6" xfId="0" applyFont="1" applyFill="1" applyBorder="1" applyAlignment="1">
      <alignment/>
    </xf>
    <xf numFmtId="0" fontId="0" fillId="0" borderId="4" xfId="0" applyFill="1" applyBorder="1" applyAlignment="1">
      <alignment/>
    </xf>
    <xf numFmtId="0" fontId="15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7" xfId="0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" fontId="13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8" xfId="0" applyFill="1" applyBorder="1" applyAlignment="1">
      <alignment/>
    </xf>
    <xf numFmtId="0" fontId="17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77" fontId="16" fillId="0" borderId="10" xfId="0" applyNumberFormat="1" applyFont="1" applyFill="1" applyBorder="1" applyAlignment="1">
      <alignment/>
    </xf>
    <xf numFmtId="177" fontId="13" fillId="0" borderId="5" xfId="0" applyNumberFormat="1" applyFont="1" applyFill="1" applyBorder="1" applyAlignment="1">
      <alignment/>
    </xf>
    <xf numFmtId="1" fontId="16" fillId="0" borderId="1" xfId="0" applyNumberFormat="1" applyFont="1" applyFill="1" applyBorder="1" applyAlignment="1">
      <alignment/>
    </xf>
    <xf numFmtId="1" fontId="13" fillId="0" borderId="1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6" fillId="0" borderId="1" xfId="0" applyFont="1" applyFill="1" applyBorder="1" applyAlignment="1">
      <alignment horizontal="right" vertical="center" wrapText="1"/>
    </xf>
    <xf numFmtId="2" fontId="16" fillId="0" borderId="1" xfId="0" applyNumberFormat="1" applyFont="1" applyFill="1" applyBorder="1" applyAlignment="1">
      <alignment horizontal="right" vertical="center"/>
    </xf>
    <xf numFmtId="177" fontId="16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/>
    </xf>
    <xf numFmtId="0" fontId="15" fillId="0" borderId="6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2" fontId="13" fillId="0" borderId="6" xfId="0" applyNumberFormat="1" applyFont="1" applyFill="1" applyBorder="1" applyAlignment="1">
      <alignment/>
    </xf>
    <xf numFmtId="177" fontId="13" fillId="0" borderId="6" xfId="0" applyNumberFormat="1" applyFont="1" applyFill="1" applyBorder="1" applyAlignment="1">
      <alignment/>
    </xf>
    <xf numFmtId="0" fontId="19" fillId="0" borderId="6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1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center" wrapText="1"/>
    </xf>
    <xf numFmtId="2" fontId="13" fillId="0" borderId="4" xfId="0" applyNumberFormat="1" applyFont="1" applyFill="1" applyBorder="1" applyAlignment="1">
      <alignment horizontal="left" vertical="center" wrapText="1"/>
    </xf>
    <xf numFmtId="177" fontId="19" fillId="0" borderId="4" xfId="0" applyNumberFormat="1" applyFont="1" applyFill="1" applyBorder="1" applyAlignment="1">
      <alignment horizontal="left" vertical="center" wrapText="1"/>
    </xf>
    <xf numFmtId="177" fontId="13" fillId="0" borderId="4" xfId="0" applyNumberFormat="1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/>
    </xf>
    <xf numFmtId="177" fontId="0" fillId="0" borderId="0" xfId="0" applyNumberFormat="1" applyFill="1" applyAlignment="1">
      <alignment/>
    </xf>
    <xf numFmtId="2" fontId="13" fillId="0" borderId="5" xfId="0" applyNumberFormat="1" applyFont="1" applyFill="1" applyBorder="1" applyAlignment="1">
      <alignment/>
    </xf>
    <xf numFmtId="0" fontId="19" fillId="0" borderId="5" xfId="0" applyFont="1" applyFill="1" applyBorder="1" applyAlignment="1">
      <alignment/>
    </xf>
    <xf numFmtId="0" fontId="15" fillId="0" borderId="6" xfId="0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/>
    </xf>
    <xf numFmtId="177" fontId="6" fillId="0" borderId="4" xfId="0" applyNumberFormat="1" applyFont="1" applyFill="1" applyBorder="1" applyAlignment="1">
      <alignment/>
    </xf>
    <xf numFmtId="0" fontId="13" fillId="0" borderId="1" xfId="0" applyFont="1" applyFill="1" applyBorder="1" applyAlignment="1">
      <alignment/>
    </xf>
    <xf numFmtId="2" fontId="13" fillId="0" borderId="1" xfId="0" applyNumberFormat="1" applyFont="1" applyFill="1" applyBorder="1" applyAlignment="1">
      <alignment/>
    </xf>
    <xf numFmtId="177" fontId="13" fillId="0" borderId="1" xfId="0" applyNumberFormat="1" applyFont="1" applyFill="1" applyBorder="1" applyAlignment="1">
      <alignment/>
    </xf>
    <xf numFmtId="1" fontId="13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/>
    </xf>
    <xf numFmtId="0" fontId="20" fillId="0" borderId="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177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0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/>
    </xf>
    <xf numFmtId="0" fontId="21" fillId="0" borderId="2" xfId="0" applyFont="1" applyFill="1" applyBorder="1" applyAlignment="1">
      <alignment/>
    </xf>
    <xf numFmtId="177" fontId="13" fillId="0" borderId="1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/>
    </xf>
    <xf numFmtId="177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177" fontId="8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25" fillId="0" borderId="1" xfId="0" applyFont="1" applyFill="1" applyBorder="1" applyAlignment="1">
      <alignment/>
    </xf>
    <xf numFmtId="2" fontId="25" fillId="0" borderId="1" xfId="0" applyNumberFormat="1" applyFont="1" applyFill="1" applyBorder="1" applyAlignment="1">
      <alignment/>
    </xf>
    <xf numFmtId="177" fontId="25" fillId="0" borderId="1" xfId="0" applyNumberFormat="1" applyFont="1" applyFill="1" applyBorder="1" applyAlignment="1">
      <alignment/>
    </xf>
    <xf numFmtId="177" fontId="15" fillId="0" borderId="1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2" fontId="17" fillId="0" borderId="1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  <xf numFmtId="177" fontId="6" fillId="0" borderId="1" xfId="0" applyNumberFormat="1" applyFont="1" applyFill="1" applyBorder="1" applyAlignment="1">
      <alignment/>
    </xf>
    <xf numFmtId="2" fontId="19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2" xfId="0" applyNumberFormat="1" applyFont="1" applyFill="1" applyBorder="1" applyAlignment="1">
      <alignment/>
    </xf>
    <xf numFmtId="177" fontId="6" fillId="0" borderId="2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2" fontId="17" fillId="0" borderId="6" xfId="0" applyNumberFormat="1" applyFont="1" applyFill="1" applyBorder="1" applyAlignment="1">
      <alignment/>
    </xf>
    <xf numFmtId="2" fontId="17" fillId="0" borderId="2" xfId="0" applyNumberFormat="1" applyFont="1" applyFill="1" applyBorder="1" applyAlignment="1">
      <alignment/>
    </xf>
    <xf numFmtId="2" fontId="0" fillId="0" borderId="1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2" fontId="15" fillId="0" borderId="5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77" fontId="15" fillId="0" borderId="5" xfId="0" applyNumberFormat="1" applyFont="1" applyFill="1" applyBorder="1" applyAlignment="1">
      <alignment/>
    </xf>
    <xf numFmtId="177" fontId="1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2" fontId="7" fillId="0" borderId="0" xfId="0" applyNumberFormat="1" applyFont="1" applyFill="1" applyAlignment="1">
      <alignment vertical="center" readingOrder="1"/>
    </xf>
    <xf numFmtId="177" fontId="7" fillId="0" borderId="0" xfId="0" applyNumberFormat="1" applyFont="1" applyFill="1" applyAlignment="1">
      <alignment vertical="center" readingOrder="1"/>
    </xf>
    <xf numFmtId="2" fontId="19" fillId="0" borderId="0" xfId="0" applyNumberFormat="1" applyFont="1" applyFill="1" applyBorder="1" applyAlignment="1">
      <alignment/>
    </xf>
    <xf numFmtId="2" fontId="19" fillId="0" borderId="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0" fontId="13" fillId="0" borderId="5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" fontId="13" fillId="0" borderId="5" xfId="0" applyNumberFormat="1" applyFont="1" applyFill="1" applyBorder="1" applyAlignment="1">
      <alignment/>
    </xf>
    <xf numFmtId="2" fontId="13" fillId="0" borderId="5" xfId="0" applyNumberFormat="1" applyFont="1" applyFill="1" applyBorder="1" applyAlignment="1">
      <alignment/>
    </xf>
    <xf numFmtId="177" fontId="13" fillId="0" borderId="5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2" fontId="6" fillId="2" borderId="1" xfId="0" applyNumberFormat="1" applyFont="1" applyFill="1" applyBorder="1" applyAlignment="1">
      <alignment/>
    </xf>
    <xf numFmtId="0" fontId="13" fillId="0" borderId="3" xfId="0" applyFont="1" applyFill="1" applyBorder="1" applyAlignment="1">
      <alignment/>
    </xf>
    <xf numFmtId="2" fontId="13" fillId="0" borderId="3" xfId="0" applyNumberFormat="1" applyFont="1" applyFill="1" applyBorder="1" applyAlignment="1">
      <alignment/>
    </xf>
    <xf numFmtId="177" fontId="13" fillId="0" borderId="3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2" fontId="0" fillId="0" borderId="0" xfId="0" applyNumberFormat="1" applyFill="1" applyAlignment="1">
      <alignment/>
    </xf>
    <xf numFmtId="177" fontId="6" fillId="2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28">
      <selection activeCell="K11" sqref="K11"/>
    </sheetView>
  </sheetViews>
  <sheetFormatPr defaultColWidth="9.140625" defaultRowHeight="12.75"/>
  <cols>
    <col min="1" max="1" width="5.57421875" style="1" customWidth="1"/>
    <col min="2" max="2" width="29.140625" style="1" customWidth="1"/>
    <col min="3" max="3" width="7.00390625" style="23" customWidth="1"/>
    <col min="4" max="4" width="11.421875" style="24" customWidth="1"/>
    <col min="5" max="5" width="13.421875" style="25" customWidth="1"/>
    <col min="6" max="6" width="14.00390625" style="25" customWidth="1"/>
    <col min="7" max="7" width="3.7109375" style="25" customWidth="1"/>
    <col min="8" max="8" width="15.28125" style="25" customWidth="1"/>
    <col min="9" max="9" width="9.57421875" style="26" customWidth="1"/>
    <col min="10" max="10" width="9.140625" style="1" customWidth="1"/>
    <col min="11" max="11" width="10.00390625" style="1" bestFit="1" customWidth="1"/>
    <col min="12" max="16384" width="9.140625" style="1" customWidth="1"/>
  </cols>
  <sheetData>
    <row r="1" spans="1:9" ht="27.75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9" ht="21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9" ht="21">
      <c r="A3" s="238" t="s">
        <v>2</v>
      </c>
      <c r="B3" s="238"/>
      <c r="C3" s="238"/>
      <c r="D3" s="238"/>
      <c r="E3" s="238"/>
      <c r="F3" s="238"/>
      <c r="G3" s="238"/>
      <c r="H3" s="238"/>
      <c r="I3" s="238"/>
    </row>
    <row r="4" spans="1:9" ht="15.75">
      <c r="A4"/>
      <c r="B4" s="2"/>
      <c r="C4" s="3"/>
      <c r="D4" s="3"/>
      <c r="E4" s="4"/>
      <c r="F4" s="3"/>
      <c r="G4" s="3"/>
      <c r="H4" s="3"/>
      <c r="I4" s="3"/>
    </row>
    <row r="5" spans="1:9" ht="42">
      <c r="A5" s="5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/>
      <c r="H5" s="7" t="s">
        <v>9</v>
      </c>
      <c r="I5" s="7" t="s">
        <v>10</v>
      </c>
    </row>
    <row r="6" spans="1:9" ht="18.75">
      <c r="A6" s="8"/>
      <c r="B6" s="6"/>
      <c r="C6" s="9"/>
      <c r="D6" s="10" t="s">
        <v>11</v>
      </c>
      <c r="E6" s="10" t="s">
        <v>12</v>
      </c>
      <c r="F6" s="10" t="s">
        <v>13</v>
      </c>
      <c r="G6" s="10"/>
      <c r="H6" s="10" t="s">
        <v>14</v>
      </c>
      <c r="I6" s="10" t="s">
        <v>15</v>
      </c>
    </row>
    <row r="7" spans="1:9" ht="18.75">
      <c r="A7" s="11">
        <v>1</v>
      </c>
      <c r="B7" s="12" t="s">
        <v>16</v>
      </c>
      <c r="C7" s="13">
        <v>3</v>
      </c>
      <c r="D7" s="14">
        <v>706.75</v>
      </c>
      <c r="E7" s="15">
        <v>1000.414</v>
      </c>
      <c r="F7" s="15">
        <v>25200.37</v>
      </c>
      <c r="G7" s="15"/>
      <c r="H7" s="15">
        <v>103867.582</v>
      </c>
      <c r="I7" s="13">
        <v>2500</v>
      </c>
    </row>
    <row r="8" spans="1:9" ht="18.75">
      <c r="A8" s="11">
        <v>2</v>
      </c>
      <c r="B8" s="12" t="s">
        <v>17</v>
      </c>
      <c r="C8" s="13">
        <v>0</v>
      </c>
      <c r="D8" s="14">
        <v>0</v>
      </c>
      <c r="E8" s="15">
        <v>51.005</v>
      </c>
      <c r="F8" s="15">
        <v>416.915</v>
      </c>
      <c r="G8" s="16" t="s">
        <v>18</v>
      </c>
      <c r="H8" s="15">
        <v>764</v>
      </c>
      <c r="I8" s="13">
        <v>0</v>
      </c>
    </row>
    <row r="9" spans="1:9" ht="18.75">
      <c r="A9" s="11">
        <v>3</v>
      </c>
      <c r="B9" s="12" t="s">
        <v>19</v>
      </c>
      <c r="C9" s="13">
        <v>17</v>
      </c>
      <c r="D9" s="14">
        <v>676.75</v>
      </c>
      <c r="E9" s="15">
        <v>61.056</v>
      </c>
      <c r="F9" s="15">
        <v>152.018</v>
      </c>
      <c r="G9" s="15"/>
      <c r="H9" s="15">
        <v>2382.076</v>
      </c>
      <c r="I9" s="13">
        <v>337</v>
      </c>
    </row>
    <row r="10" spans="1:9" ht="18.75">
      <c r="A10" s="11">
        <v>4</v>
      </c>
      <c r="B10" s="12" t="s">
        <v>20</v>
      </c>
      <c r="C10" s="13">
        <v>5</v>
      </c>
      <c r="D10" s="14">
        <v>6642.49</v>
      </c>
      <c r="E10" s="15">
        <v>5137.964</v>
      </c>
      <c r="F10" s="15">
        <v>22087.75</v>
      </c>
      <c r="G10" s="15"/>
      <c r="H10" s="15">
        <v>5930440.640000001</v>
      </c>
      <c r="I10" s="13">
        <v>3332</v>
      </c>
    </row>
    <row r="11" spans="1:9" ht="18.75">
      <c r="A11" s="11">
        <v>5</v>
      </c>
      <c r="B11" s="12" t="s">
        <v>21</v>
      </c>
      <c r="C11" s="13">
        <v>1</v>
      </c>
      <c r="D11" s="14">
        <v>18.89</v>
      </c>
      <c r="E11" s="15">
        <v>0</v>
      </c>
      <c r="F11" s="15">
        <v>0</v>
      </c>
      <c r="G11" s="15"/>
      <c r="H11" s="15">
        <v>27</v>
      </c>
      <c r="I11" s="13">
        <v>0</v>
      </c>
    </row>
    <row r="12" spans="1:9" ht="18.75">
      <c r="A12" s="11">
        <v>6</v>
      </c>
      <c r="B12" s="12" t="s">
        <v>22</v>
      </c>
      <c r="C12" s="13">
        <v>0</v>
      </c>
      <c r="D12" s="14">
        <v>0</v>
      </c>
      <c r="E12" s="15">
        <v>60897.977</v>
      </c>
      <c r="F12" s="15">
        <v>9946.203</v>
      </c>
      <c r="G12" s="16" t="s">
        <v>18</v>
      </c>
      <c r="H12" s="15">
        <v>246</v>
      </c>
      <c r="I12" s="13">
        <v>0</v>
      </c>
    </row>
    <row r="13" spans="1:9" ht="18.75">
      <c r="A13" s="11">
        <v>7</v>
      </c>
      <c r="B13" s="12" t="s">
        <v>23</v>
      </c>
      <c r="C13" s="13">
        <v>16</v>
      </c>
      <c r="D13" s="14">
        <v>838.5539999999999</v>
      </c>
      <c r="E13" s="15">
        <v>0</v>
      </c>
      <c r="F13" s="15">
        <v>0</v>
      </c>
      <c r="G13" s="15"/>
      <c r="H13" s="15">
        <v>30</v>
      </c>
      <c r="I13" s="13">
        <v>8</v>
      </c>
    </row>
    <row r="14" spans="1:9" ht="18.75">
      <c r="A14" s="11">
        <v>8</v>
      </c>
      <c r="B14" s="12" t="s">
        <v>24</v>
      </c>
      <c r="C14" s="13">
        <v>75</v>
      </c>
      <c r="D14" s="14">
        <v>5422.41</v>
      </c>
      <c r="E14" s="15">
        <v>584.5</v>
      </c>
      <c r="F14" s="15">
        <v>1753</v>
      </c>
      <c r="G14" s="15"/>
      <c r="H14" s="15">
        <v>17562.322</v>
      </c>
      <c r="I14" s="13">
        <v>250</v>
      </c>
    </row>
    <row r="15" spans="1:9" ht="18.75">
      <c r="A15" s="11">
        <v>9</v>
      </c>
      <c r="B15" s="12" t="s">
        <v>25</v>
      </c>
      <c r="C15" s="13">
        <v>3</v>
      </c>
      <c r="D15" s="14">
        <v>82.09</v>
      </c>
      <c r="E15" s="15">
        <v>6.781</v>
      </c>
      <c r="F15" s="15">
        <v>13.510299999999999</v>
      </c>
      <c r="G15" s="15"/>
      <c r="H15" s="15">
        <v>429.474</v>
      </c>
      <c r="I15" s="13">
        <v>15</v>
      </c>
    </row>
    <row r="16" spans="1:9" ht="18.75">
      <c r="A16" s="11">
        <v>10</v>
      </c>
      <c r="B16" s="17" t="s">
        <v>26</v>
      </c>
      <c r="C16" s="13">
        <v>0</v>
      </c>
      <c r="D16" s="14">
        <v>0</v>
      </c>
      <c r="E16" s="15">
        <v>347.16</v>
      </c>
      <c r="F16" s="15">
        <v>642.246</v>
      </c>
      <c r="G16" s="16" t="s">
        <v>18</v>
      </c>
      <c r="H16" s="15">
        <v>12241</v>
      </c>
      <c r="I16" s="13">
        <v>0</v>
      </c>
    </row>
    <row r="17" spans="1:9" s="18" customFormat="1" ht="18.75">
      <c r="A17" s="11">
        <v>11</v>
      </c>
      <c r="B17" s="17" t="s">
        <v>27</v>
      </c>
      <c r="C17" s="13">
        <v>25</v>
      </c>
      <c r="D17" s="14">
        <v>819.83</v>
      </c>
      <c r="E17" s="15">
        <v>94.915</v>
      </c>
      <c r="F17" s="15">
        <v>301.885</v>
      </c>
      <c r="G17" s="15"/>
      <c r="H17" s="15">
        <v>8795.894</v>
      </c>
      <c r="I17" s="13">
        <v>633</v>
      </c>
    </row>
    <row r="18" spans="1:9" ht="18.75">
      <c r="A18" s="11">
        <v>12</v>
      </c>
      <c r="B18" s="12" t="s">
        <v>28</v>
      </c>
      <c r="C18" s="13">
        <v>96</v>
      </c>
      <c r="D18" s="14">
        <v>2446.5860000000002</v>
      </c>
      <c r="E18" s="15">
        <v>559.4870000000001</v>
      </c>
      <c r="F18" s="15">
        <v>1363.7269999999999</v>
      </c>
      <c r="G18" s="15"/>
      <c r="H18" s="15">
        <v>18784.381</v>
      </c>
      <c r="I18" s="13">
        <v>897</v>
      </c>
    </row>
    <row r="19" spans="1:9" ht="18.75">
      <c r="A19" s="11">
        <v>13</v>
      </c>
      <c r="B19" s="12" t="s">
        <v>29</v>
      </c>
      <c r="C19" s="13">
        <v>9</v>
      </c>
      <c r="D19" s="14">
        <v>546.06</v>
      </c>
      <c r="E19" s="15">
        <v>139.397</v>
      </c>
      <c r="F19" s="15">
        <v>274.111</v>
      </c>
      <c r="G19" s="15"/>
      <c r="H19" s="15">
        <v>9596.381000000001</v>
      </c>
      <c r="I19" s="13">
        <v>170</v>
      </c>
    </row>
    <row r="20" spans="1:9" ht="15.75" customHeight="1">
      <c r="A20" s="11">
        <v>14</v>
      </c>
      <c r="B20" s="19" t="s">
        <v>30</v>
      </c>
      <c r="C20" s="13">
        <v>2</v>
      </c>
      <c r="D20" s="14">
        <v>54.96</v>
      </c>
      <c r="E20" s="15">
        <v>0</v>
      </c>
      <c r="F20" s="15">
        <v>0</v>
      </c>
      <c r="G20" s="15"/>
      <c r="H20" s="15">
        <v>0</v>
      </c>
      <c r="I20" s="13">
        <v>0</v>
      </c>
    </row>
    <row r="21" spans="1:9" ht="15.75" customHeight="1">
      <c r="A21" s="11">
        <v>15</v>
      </c>
      <c r="B21" s="19" t="s">
        <v>31</v>
      </c>
      <c r="C21" s="13">
        <v>1</v>
      </c>
      <c r="D21" s="14">
        <v>5</v>
      </c>
      <c r="E21" s="15">
        <v>0</v>
      </c>
      <c r="F21" s="15">
        <v>0</v>
      </c>
      <c r="G21" s="15"/>
      <c r="H21" s="15">
        <v>0</v>
      </c>
      <c r="I21" s="13">
        <v>0</v>
      </c>
    </row>
    <row r="22" spans="1:9" ht="18.75">
      <c r="A22" s="11">
        <v>16</v>
      </c>
      <c r="B22" s="12" t="s">
        <v>32</v>
      </c>
      <c r="C22" s="13">
        <v>436</v>
      </c>
      <c r="D22" s="14">
        <v>4450.94</v>
      </c>
      <c r="E22" s="15">
        <v>484.27799999999996</v>
      </c>
      <c r="F22" s="15">
        <v>910.2919999999999</v>
      </c>
      <c r="G22" s="15"/>
      <c r="H22" s="15">
        <v>31105.458000000002</v>
      </c>
      <c r="I22" s="13">
        <v>3835</v>
      </c>
    </row>
    <row r="23" spans="1:9" s="20" customFormat="1" ht="18.75">
      <c r="A23" s="11">
        <v>17</v>
      </c>
      <c r="B23" s="12" t="s">
        <v>33</v>
      </c>
      <c r="C23" s="13">
        <v>4</v>
      </c>
      <c r="D23" s="14">
        <v>58.73</v>
      </c>
      <c r="E23" s="15">
        <v>0.067</v>
      </c>
      <c r="F23" s="15">
        <v>0.01</v>
      </c>
      <c r="G23" s="15"/>
      <c r="H23" s="15">
        <v>21.51</v>
      </c>
      <c r="I23" s="13">
        <v>20</v>
      </c>
    </row>
    <row r="24" spans="1:9" ht="18.75">
      <c r="A24" s="11">
        <v>18</v>
      </c>
      <c r="B24" s="12" t="s">
        <v>34</v>
      </c>
      <c r="C24" s="13">
        <v>12</v>
      </c>
      <c r="D24" s="14">
        <v>1314.54</v>
      </c>
      <c r="E24" s="15">
        <v>5.671</v>
      </c>
      <c r="F24" s="15">
        <v>24.505</v>
      </c>
      <c r="G24" s="15"/>
      <c r="H24" s="15">
        <v>363.217</v>
      </c>
      <c r="I24" s="13">
        <v>30</v>
      </c>
    </row>
    <row r="25" spans="1:9" ht="15.75">
      <c r="A25" s="11">
        <v>19</v>
      </c>
      <c r="B25" s="19" t="s">
        <v>35</v>
      </c>
      <c r="C25" s="13">
        <v>19</v>
      </c>
      <c r="D25" s="14">
        <v>243.54</v>
      </c>
      <c r="E25" s="15">
        <v>0</v>
      </c>
      <c r="F25" s="15">
        <v>0</v>
      </c>
      <c r="G25" s="15"/>
      <c r="H25" s="15">
        <v>248.083</v>
      </c>
      <c r="I25" s="13">
        <v>2</v>
      </c>
    </row>
    <row r="26" spans="1:9" ht="18.75">
      <c r="A26" s="11">
        <v>20</v>
      </c>
      <c r="B26" s="12" t="s">
        <v>36</v>
      </c>
      <c r="C26" s="13">
        <v>1</v>
      </c>
      <c r="D26" s="14">
        <v>59</v>
      </c>
      <c r="E26" s="15">
        <v>0</v>
      </c>
      <c r="F26" s="15">
        <v>0</v>
      </c>
      <c r="G26" s="15"/>
      <c r="H26" s="15">
        <v>129</v>
      </c>
      <c r="I26" s="13">
        <v>0</v>
      </c>
    </row>
    <row r="27" spans="1:9" ht="18.75">
      <c r="A27" s="11">
        <v>21</v>
      </c>
      <c r="B27" s="12" t="s">
        <v>37</v>
      </c>
      <c r="C27" s="13">
        <v>34</v>
      </c>
      <c r="D27" s="14">
        <v>15332.39</v>
      </c>
      <c r="E27" s="15">
        <v>3813.0789999999997</v>
      </c>
      <c r="F27" s="15">
        <v>10339.112000000001</v>
      </c>
      <c r="G27" s="15"/>
      <c r="H27" s="15">
        <v>187694.659</v>
      </c>
      <c r="I27" s="13">
        <v>932</v>
      </c>
    </row>
    <row r="28" spans="1:9" ht="18.75">
      <c r="A28" s="11">
        <v>22</v>
      </c>
      <c r="B28" s="12" t="s">
        <v>38</v>
      </c>
      <c r="C28" s="13">
        <v>7</v>
      </c>
      <c r="D28" s="14">
        <v>244.33</v>
      </c>
      <c r="E28" s="15">
        <v>0.28</v>
      </c>
      <c r="F28" s="15">
        <v>1.12</v>
      </c>
      <c r="G28" s="15"/>
      <c r="H28" s="15">
        <v>53.218</v>
      </c>
      <c r="I28" s="13">
        <v>6</v>
      </c>
    </row>
    <row r="29" spans="1:9" ht="18.75">
      <c r="A29" s="11">
        <v>23</v>
      </c>
      <c r="B29" s="12" t="s">
        <v>39</v>
      </c>
      <c r="C29" s="13">
        <v>2</v>
      </c>
      <c r="D29" s="14">
        <v>10</v>
      </c>
      <c r="E29" s="15">
        <v>0</v>
      </c>
      <c r="F29" s="15">
        <v>0</v>
      </c>
      <c r="G29" s="15"/>
      <c r="H29" s="15">
        <v>36</v>
      </c>
      <c r="I29" s="13">
        <v>0</v>
      </c>
    </row>
    <row r="30" spans="1:9" ht="18.75">
      <c r="A30" s="11">
        <v>24</v>
      </c>
      <c r="B30" s="17" t="s">
        <v>40</v>
      </c>
      <c r="C30" s="13">
        <v>4</v>
      </c>
      <c r="D30" s="14">
        <v>5489.89</v>
      </c>
      <c r="E30" s="15">
        <v>464.935</v>
      </c>
      <c r="F30" s="15">
        <v>4085.371</v>
      </c>
      <c r="G30" s="15"/>
      <c r="H30" s="15">
        <v>23350.584000000003</v>
      </c>
      <c r="I30" s="13">
        <v>1035</v>
      </c>
    </row>
    <row r="31" spans="1:9" ht="18.75">
      <c r="A31" s="11">
        <v>25</v>
      </c>
      <c r="B31" s="12" t="s">
        <v>41</v>
      </c>
      <c r="C31" s="13">
        <v>31</v>
      </c>
      <c r="D31" s="14">
        <v>18814.59</v>
      </c>
      <c r="E31" s="15">
        <v>27176.146</v>
      </c>
      <c r="F31" s="15">
        <v>32658.722</v>
      </c>
      <c r="G31" s="15"/>
      <c r="H31" s="15">
        <v>1346715.72</v>
      </c>
      <c r="I31" s="13">
        <v>3237</v>
      </c>
    </row>
    <row r="32" spans="1:9" ht="18.75">
      <c r="A32" s="11">
        <v>26</v>
      </c>
      <c r="B32" s="12" t="s">
        <v>42</v>
      </c>
      <c r="C32" s="13">
        <v>5</v>
      </c>
      <c r="D32" s="14">
        <v>244.5</v>
      </c>
      <c r="E32" s="15">
        <v>0</v>
      </c>
      <c r="F32" s="15">
        <v>0</v>
      </c>
      <c r="G32" s="15"/>
      <c r="H32" s="15">
        <v>2.05</v>
      </c>
      <c r="I32" s="13">
        <v>2</v>
      </c>
    </row>
    <row r="33" spans="1:9" ht="18.75">
      <c r="A33" s="11">
        <v>27</v>
      </c>
      <c r="B33" s="12" t="s">
        <v>43</v>
      </c>
      <c r="C33" s="13">
        <v>12</v>
      </c>
      <c r="D33" s="14">
        <v>385.4</v>
      </c>
      <c r="E33" s="15">
        <v>568</v>
      </c>
      <c r="F33" s="15">
        <v>6.51</v>
      </c>
      <c r="G33" s="15"/>
      <c r="H33" s="15">
        <v>185.54899999999998</v>
      </c>
      <c r="I33" s="13">
        <v>54</v>
      </c>
    </row>
    <row r="34" spans="1:9" ht="18.75">
      <c r="A34" s="11">
        <v>28</v>
      </c>
      <c r="B34" s="12" t="s">
        <v>44</v>
      </c>
      <c r="C34" s="13">
        <v>41</v>
      </c>
      <c r="D34" s="14">
        <v>1530.23</v>
      </c>
      <c r="E34" s="15">
        <v>1183.919</v>
      </c>
      <c r="F34" s="15">
        <v>809.7660000000001</v>
      </c>
      <c r="G34" s="15"/>
      <c r="H34" s="15">
        <v>18453.335</v>
      </c>
      <c r="I34" s="13">
        <v>1277</v>
      </c>
    </row>
    <row r="35" spans="1:9" s="18" customFormat="1" ht="18.75">
      <c r="A35" s="11">
        <v>29</v>
      </c>
      <c r="B35" s="12" t="s">
        <v>45</v>
      </c>
      <c r="C35" s="13">
        <v>8</v>
      </c>
      <c r="D35" s="14">
        <v>193.85</v>
      </c>
      <c r="E35" s="15">
        <v>14.617999999999999</v>
      </c>
      <c r="F35" s="15">
        <v>25.816</v>
      </c>
      <c r="G35" s="15"/>
      <c r="H35" s="15">
        <v>201.928</v>
      </c>
      <c r="I35" s="13">
        <v>182</v>
      </c>
    </row>
    <row r="36" spans="1:9" ht="18.75">
      <c r="A36" s="11">
        <v>30</v>
      </c>
      <c r="B36" s="12" t="s">
        <v>46</v>
      </c>
      <c r="C36" s="13">
        <v>304</v>
      </c>
      <c r="D36" s="14">
        <v>3270.382</v>
      </c>
      <c r="E36" s="15">
        <v>339.162</v>
      </c>
      <c r="F36" s="15">
        <v>597.9380000000002</v>
      </c>
      <c r="G36" s="15"/>
      <c r="H36" s="15">
        <v>13604.248</v>
      </c>
      <c r="I36" s="13">
        <v>2247</v>
      </c>
    </row>
    <row r="37" spans="1:9" ht="18.75">
      <c r="A37" s="11">
        <v>31</v>
      </c>
      <c r="B37" s="12" t="s">
        <v>47</v>
      </c>
      <c r="C37" s="13">
        <v>6</v>
      </c>
      <c r="D37" s="14">
        <v>2533.98</v>
      </c>
      <c r="E37" s="15">
        <v>1819.027</v>
      </c>
      <c r="F37" s="15">
        <v>21828.324</v>
      </c>
      <c r="G37" s="15"/>
      <c r="H37" s="15">
        <v>300512</v>
      </c>
      <c r="I37" s="13">
        <v>940</v>
      </c>
    </row>
    <row r="38" spans="1:9" ht="18.75">
      <c r="A38" s="11">
        <v>32</v>
      </c>
      <c r="B38" s="12" t="s">
        <v>48</v>
      </c>
      <c r="C38" s="13">
        <v>4</v>
      </c>
      <c r="D38" s="14">
        <v>933.62</v>
      </c>
      <c r="E38" s="15">
        <v>0</v>
      </c>
      <c r="F38" s="15">
        <v>0</v>
      </c>
      <c r="G38" s="15"/>
      <c r="H38" s="15">
        <v>434.035</v>
      </c>
      <c r="I38" s="13">
        <v>0</v>
      </c>
    </row>
    <row r="39" spans="1:9" ht="18.75">
      <c r="A39" s="11">
        <v>33</v>
      </c>
      <c r="B39" s="12" t="s">
        <v>49</v>
      </c>
      <c r="C39" s="13">
        <v>99</v>
      </c>
      <c r="D39" s="14">
        <v>4162.36</v>
      </c>
      <c r="E39" s="15">
        <v>968.879</v>
      </c>
      <c r="F39" s="15">
        <v>918.6340000000001</v>
      </c>
      <c r="G39" s="15"/>
      <c r="H39" s="15">
        <v>22271.4</v>
      </c>
      <c r="I39" s="13">
        <v>1456</v>
      </c>
    </row>
    <row r="40" spans="1:9" ht="18.75">
      <c r="A40" s="11">
        <v>34</v>
      </c>
      <c r="B40" s="12" t="s">
        <v>50</v>
      </c>
      <c r="C40" s="13">
        <v>13</v>
      </c>
      <c r="D40" s="14">
        <v>479.99</v>
      </c>
      <c r="E40" s="15">
        <v>1.82</v>
      </c>
      <c r="F40" s="15">
        <v>4.979</v>
      </c>
      <c r="G40" s="15"/>
      <c r="H40" s="15">
        <v>197</v>
      </c>
      <c r="I40" s="13">
        <v>28</v>
      </c>
    </row>
    <row r="41" spans="1:9" ht="18.75">
      <c r="A41" s="11">
        <v>35</v>
      </c>
      <c r="B41" s="12" t="s">
        <v>51</v>
      </c>
      <c r="C41" s="13">
        <v>1</v>
      </c>
      <c r="D41" s="14">
        <v>50.5</v>
      </c>
      <c r="E41" s="15">
        <v>0</v>
      </c>
      <c r="F41" s="15">
        <v>0</v>
      </c>
      <c r="G41" s="15"/>
      <c r="H41" s="15">
        <v>0</v>
      </c>
      <c r="I41" s="13">
        <v>0</v>
      </c>
    </row>
    <row r="42" spans="1:9" s="18" customFormat="1" ht="18.75">
      <c r="A42" s="11">
        <v>36</v>
      </c>
      <c r="B42" s="12" t="s">
        <v>52</v>
      </c>
      <c r="C42" s="13">
        <v>253</v>
      </c>
      <c r="D42" s="14">
        <v>14568.31</v>
      </c>
      <c r="E42" s="15">
        <v>511.395</v>
      </c>
      <c r="F42" s="15">
        <v>3737.324</v>
      </c>
      <c r="G42" s="15"/>
      <c r="H42" s="15">
        <v>64729.606</v>
      </c>
      <c r="I42" s="13">
        <v>3370</v>
      </c>
    </row>
    <row r="43" spans="1:9" ht="18.75">
      <c r="A43" s="11">
        <v>37</v>
      </c>
      <c r="B43" s="12" t="s">
        <v>53</v>
      </c>
      <c r="C43" s="13">
        <v>2</v>
      </c>
      <c r="D43" s="14">
        <v>9.93</v>
      </c>
      <c r="E43" s="15">
        <v>15</v>
      </c>
      <c r="F43" s="15">
        <v>0.09</v>
      </c>
      <c r="G43" s="15"/>
      <c r="H43" s="15">
        <v>2</v>
      </c>
      <c r="I43" s="13">
        <v>0</v>
      </c>
    </row>
    <row r="44" spans="1:9" ht="18.75">
      <c r="A44" s="11">
        <v>38</v>
      </c>
      <c r="B44" s="12" t="s">
        <v>54</v>
      </c>
      <c r="C44" s="13">
        <v>7</v>
      </c>
      <c r="D44" s="14">
        <v>307.28</v>
      </c>
      <c r="E44" s="15">
        <v>134.22099999999998</v>
      </c>
      <c r="F44" s="15">
        <v>1182.062</v>
      </c>
      <c r="G44" s="15"/>
      <c r="H44" s="15">
        <v>10751.61</v>
      </c>
      <c r="I44" s="13">
        <v>240</v>
      </c>
    </row>
    <row r="45" spans="1:9" ht="18.75">
      <c r="A45" s="239" t="s">
        <v>55</v>
      </c>
      <c r="B45" s="240"/>
      <c r="C45" s="13">
        <v>0</v>
      </c>
      <c r="D45" s="14">
        <v>0</v>
      </c>
      <c r="E45" s="15">
        <v>0</v>
      </c>
      <c r="F45" s="15">
        <v>0</v>
      </c>
      <c r="G45" s="15"/>
      <c r="H45" s="15">
        <v>4105.905</v>
      </c>
      <c r="I45" s="13">
        <v>0</v>
      </c>
    </row>
    <row r="46" spans="1:9" ht="18.75">
      <c r="A46" s="11"/>
      <c r="B46" s="12"/>
      <c r="C46" s="13"/>
      <c r="D46" s="14"/>
      <c r="E46" s="15"/>
      <c r="F46" s="15"/>
      <c r="G46" s="15"/>
      <c r="H46" s="15"/>
      <c r="I46" s="13"/>
    </row>
    <row r="47" spans="1:9" ht="15.75">
      <c r="A47" s="21"/>
      <c r="B47" s="14" t="s">
        <v>56</v>
      </c>
      <c r="C47" s="13">
        <f>SUM(C7:C46)</f>
        <v>1558</v>
      </c>
      <c r="D47" s="13">
        <f>SUM(D7:D46)</f>
        <v>92948.65199999999</v>
      </c>
      <c r="E47" s="13">
        <v>44503.002</v>
      </c>
      <c r="F47" s="13">
        <f>SUM(F7:F46)</f>
        <v>139282.31029999995</v>
      </c>
      <c r="G47" s="13"/>
      <c r="H47" s="15">
        <f>SUM(H7:H46)</f>
        <v>8130334.865</v>
      </c>
      <c r="I47" s="13">
        <f>SUM(I7:I46)</f>
        <v>27035</v>
      </c>
    </row>
    <row r="48" ht="15.75">
      <c r="B48" s="22" t="s">
        <v>57</v>
      </c>
    </row>
    <row r="49" spans="1:2" ht="15">
      <c r="A49" s="27" t="s">
        <v>18</v>
      </c>
      <c r="B49" s="28" t="s">
        <v>58</v>
      </c>
    </row>
  </sheetData>
  <mergeCells count="4">
    <mergeCell ref="A3:I3"/>
    <mergeCell ref="A45:B45"/>
    <mergeCell ref="A2:I2"/>
    <mergeCell ref="A1:I1"/>
  </mergeCells>
  <printOptions/>
  <pageMargins left="0.7480314960629921" right="0.3937007874015748" top="0.5905511811023623" bottom="0.5905511811023623" header="0.5118110236220472" footer="0.5118110236220472"/>
  <pageSetup fitToHeight="1" fitToWidth="1" horizontalDpi="120" verticalDpi="120" orientation="portrait" paperSize="9" scale="83" r:id="rId1"/>
  <headerFooter alignWithMargins="0">
    <oddFooter>&amp;C&amp;D&amp;R&amp;Z&amp;F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7">
      <selection activeCell="C24" sqref="C24"/>
    </sheetView>
  </sheetViews>
  <sheetFormatPr defaultColWidth="9.140625" defaultRowHeight="12.75"/>
  <cols>
    <col min="1" max="1" width="5.8515625" style="1" customWidth="1"/>
    <col min="2" max="2" width="18.7109375" style="130" customWidth="1"/>
    <col min="3" max="3" width="8.28125" style="23" customWidth="1"/>
    <col min="4" max="4" width="12.7109375" style="24" customWidth="1"/>
    <col min="5" max="5" width="16.140625" style="25" customWidth="1"/>
    <col min="6" max="6" width="16.7109375" style="25" customWidth="1"/>
    <col min="7" max="7" width="17.8515625" style="25" customWidth="1"/>
    <col min="8" max="8" width="10.57421875" style="23" customWidth="1"/>
    <col min="9" max="16384" width="9.140625" style="1" customWidth="1"/>
  </cols>
  <sheetData>
    <row r="1" spans="1:8" ht="27.75">
      <c r="A1" s="228" t="s">
        <v>59</v>
      </c>
      <c r="B1" s="228"/>
      <c r="C1" s="228"/>
      <c r="D1" s="228"/>
      <c r="E1" s="228"/>
      <c r="F1" s="228"/>
      <c r="G1" s="228"/>
      <c r="H1" s="228"/>
    </row>
    <row r="2" spans="1:8" ht="21">
      <c r="A2" s="235" t="s">
        <v>183</v>
      </c>
      <c r="B2" s="235"/>
      <c r="C2" s="235"/>
      <c r="D2" s="235"/>
      <c r="E2" s="235"/>
      <c r="F2" s="235"/>
      <c r="G2" s="235"/>
      <c r="H2" s="235"/>
    </row>
    <row r="3" spans="1:8" ht="21">
      <c r="A3" s="229" t="s">
        <v>2</v>
      </c>
      <c r="B3" s="229"/>
      <c r="C3" s="229"/>
      <c r="D3" s="229"/>
      <c r="E3" s="229"/>
      <c r="F3" s="229"/>
      <c r="G3" s="229"/>
      <c r="H3" s="229"/>
    </row>
    <row r="5" spans="1:8" ht="31.5">
      <c r="A5" s="156" t="s">
        <v>61</v>
      </c>
      <c r="B5" s="38" t="s">
        <v>62</v>
      </c>
      <c r="C5" s="42" t="s">
        <v>5</v>
      </c>
      <c r="D5" s="39" t="s">
        <v>6</v>
      </c>
      <c r="E5" s="40" t="s">
        <v>7</v>
      </c>
      <c r="F5" s="41" t="s">
        <v>8</v>
      </c>
      <c r="G5" s="41" t="s">
        <v>9</v>
      </c>
      <c r="H5" s="38" t="s">
        <v>63</v>
      </c>
    </row>
    <row r="6" spans="1:8" ht="15.75">
      <c r="A6" s="87"/>
      <c r="B6" s="43"/>
      <c r="C6" s="44"/>
      <c r="D6" s="45" t="s">
        <v>11</v>
      </c>
      <c r="E6" s="46" t="s">
        <v>64</v>
      </c>
      <c r="F6" s="46" t="s">
        <v>65</v>
      </c>
      <c r="G6" s="46" t="s">
        <v>66</v>
      </c>
      <c r="H6" s="157" t="s">
        <v>15</v>
      </c>
    </row>
    <row r="7" spans="1:8" ht="18.75">
      <c r="A7" s="148">
        <v>1</v>
      </c>
      <c r="B7" s="148" t="s">
        <v>184</v>
      </c>
      <c r="C7" s="148">
        <v>16</v>
      </c>
      <c r="D7" s="158">
        <v>87.4</v>
      </c>
      <c r="E7" s="159">
        <v>53.305</v>
      </c>
      <c r="F7" s="159">
        <v>80.83</v>
      </c>
      <c r="G7" s="159">
        <v>3266.538</v>
      </c>
      <c r="H7" s="148">
        <v>198</v>
      </c>
    </row>
    <row r="8" spans="1:8" ht="18.75">
      <c r="A8" s="148">
        <v>2</v>
      </c>
      <c r="B8" s="148" t="s">
        <v>185</v>
      </c>
      <c r="C8" s="148">
        <v>16</v>
      </c>
      <c r="D8" s="158">
        <v>12.76</v>
      </c>
      <c r="E8" s="159">
        <v>14839.121000000001</v>
      </c>
      <c r="F8" s="159">
        <v>34466.978</v>
      </c>
      <c r="G8" s="159">
        <v>118292.355</v>
      </c>
      <c r="H8" s="148">
        <v>17947</v>
      </c>
    </row>
    <row r="9" spans="1:8" ht="18.75">
      <c r="A9" s="148">
        <v>3</v>
      </c>
      <c r="B9" s="148" t="s">
        <v>186</v>
      </c>
      <c r="C9" s="148">
        <v>8</v>
      </c>
      <c r="D9" s="158">
        <v>10.96</v>
      </c>
      <c r="E9" s="159">
        <v>0.788</v>
      </c>
      <c r="F9" s="159">
        <v>1.396</v>
      </c>
      <c r="G9" s="159">
        <v>130.932</v>
      </c>
      <c r="H9" s="148">
        <v>11</v>
      </c>
    </row>
    <row r="10" spans="1:8" ht="18.75">
      <c r="A10" s="148">
        <v>4</v>
      </c>
      <c r="B10" s="148" t="s">
        <v>187</v>
      </c>
      <c r="C10" s="148">
        <v>49</v>
      </c>
      <c r="D10" s="158">
        <v>41.2</v>
      </c>
      <c r="E10" s="159">
        <v>206.637</v>
      </c>
      <c r="F10" s="159">
        <v>267.86699999999996</v>
      </c>
      <c r="G10" s="159">
        <v>10795.885999999999</v>
      </c>
      <c r="H10" s="148">
        <v>404</v>
      </c>
    </row>
    <row r="11" spans="1:8" ht="25.5">
      <c r="A11" s="160">
        <v>5</v>
      </c>
      <c r="B11" s="161" t="s">
        <v>208</v>
      </c>
      <c r="C11" s="160">
        <v>29</v>
      </c>
      <c r="D11" s="162">
        <v>1923.43</v>
      </c>
      <c r="E11" s="163">
        <v>17.591</v>
      </c>
      <c r="F11" s="163">
        <v>61.233</v>
      </c>
      <c r="G11" s="163">
        <v>1131.45</v>
      </c>
      <c r="H11" s="160">
        <v>183</v>
      </c>
    </row>
    <row r="12" spans="1:8" s="20" customFormat="1" ht="18.75">
      <c r="A12" s="148">
        <v>6</v>
      </c>
      <c r="B12" s="148" t="s">
        <v>188</v>
      </c>
      <c r="C12" s="148">
        <v>568</v>
      </c>
      <c r="D12" s="158">
        <v>1383.86</v>
      </c>
      <c r="E12" s="159">
        <v>335.0919999999999</v>
      </c>
      <c r="F12" s="159">
        <v>2340.5330000000004</v>
      </c>
      <c r="G12" s="159">
        <v>44029.594000000005</v>
      </c>
      <c r="H12" s="148">
        <v>2934</v>
      </c>
    </row>
    <row r="13" spans="1:8" s="89" customFormat="1" ht="18.75">
      <c r="A13" s="148">
        <v>7</v>
      </c>
      <c r="B13" s="148" t="s">
        <v>189</v>
      </c>
      <c r="C13" s="148">
        <v>19</v>
      </c>
      <c r="D13" s="158">
        <v>56.15</v>
      </c>
      <c r="E13" s="159">
        <v>44851.931</v>
      </c>
      <c r="F13" s="159">
        <v>31256.396000000004</v>
      </c>
      <c r="G13" s="159">
        <v>359875.487</v>
      </c>
      <c r="H13" s="148">
        <v>18232</v>
      </c>
    </row>
    <row r="14" spans="1:8" ht="18.75">
      <c r="A14" s="148">
        <v>8</v>
      </c>
      <c r="B14" s="148" t="s">
        <v>190</v>
      </c>
      <c r="C14" s="148">
        <v>350</v>
      </c>
      <c r="D14" s="158">
        <v>13859.431</v>
      </c>
      <c r="E14" s="159">
        <v>4002.3440000000005</v>
      </c>
      <c r="F14" s="159">
        <v>5103.655</v>
      </c>
      <c r="G14" s="159">
        <v>212531.51</v>
      </c>
      <c r="H14" s="148">
        <v>3327</v>
      </c>
    </row>
    <row r="15" spans="1:8" ht="18.75">
      <c r="A15" s="148">
        <v>9</v>
      </c>
      <c r="B15" s="164" t="s">
        <v>191</v>
      </c>
      <c r="C15" s="148">
        <v>375</v>
      </c>
      <c r="D15" s="158">
        <v>2388.66</v>
      </c>
      <c r="E15" s="159">
        <v>4306.851</v>
      </c>
      <c r="F15" s="159">
        <v>23179.227</v>
      </c>
      <c r="G15" s="159">
        <v>263527.71</v>
      </c>
      <c r="H15" s="148">
        <v>6998</v>
      </c>
    </row>
    <row r="16" spans="1:8" s="89" customFormat="1" ht="18.75">
      <c r="A16" s="148">
        <v>10</v>
      </c>
      <c r="B16" s="148" t="s">
        <v>192</v>
      </c>
      <c r="C16" s="148">
        <v>2019</v>
      </c>
      <c r="D16" s="158">
        <v>2998.7988</v>
      </c>
      <c r="E16" s="159">
        <v>6815.437000000001</v>
      </c>
      <c r="F16" s="159">
        <v>59638.24599999999</v>
      </c>
      <c r="G16" s="159">
        <v>1017346.6339999998</v>
      </c>
      <c r="H16" s="148">
        <v>38356</v>
      </c>
    </row>
    <row r="17" spans="1:8" ht="18.75">
      <c r="A17" s="148">
        <v>11</v>
      </c>
      <c r="B17" s="148" t="s">
        <v>193</v>
      </c>
      <c r="C17" s="148">
        <v>3546</v>
      </c>
      <c r="D17" s="158">
        <v>5695.26</v>
      </c>
      <c r="E17" s="159">
        <v>50986.52</v>
      </c>
      <c r="F17" s="159">
        <v>34586.30100000001</v>
      </c>
      <c r="G17" s="159">
        <v>454266.69899999996</v>
      </c>
      <c r="H17" s="148">
        <v>71908</v>
      </c>
    </row>
    <row r="18" spans="1:8" ht="18.75">
      <c r="A18" s="148">
        <v>12</v>
      </c>
      <c r="B18" s="164" t="s">
        <v>194</v>
      </c>
      <c r="C18" s="148">
        <v>7</v>
      </c>
      <c r="D18" s="158">
        <v>1073.53</v>
      </c>
      <c r="E18" s="159">
        <v>5.2620000000000005</v>
      </c>
      <c r="F18" s="159">
        <v>8.29</v>
      </c>
      <c r="G18" s="159">
        <v>221</v>
      </c>
      <c r="H18" s="148">
        <v>32</v>
      </c>
    </row>
    <row r="19" spans="1:8" ht="18.75">
      <c r="A19" s="148">
        <v>13</v>
      </c>
      <c r="B19" s="148" t="s">
        <v>195</v>
      </c>
      <c r="C19" s="148">
        <v>0</v>
      </c>
      <c r="D19" s="158">
        <v>0</v>
      </c>
      <c r="E19" s="159">
        <v>46052.959</v>
      </c>
      <c r="F19" s="159">
        <v>11212.448</v>
      </c>
      <c r="G19" s="159">
        <v>59939.44799999999</v>
      </c>
      <c r="H19" s="148">
        <v>2582</v>
      </c>
    </row>
    <row r="20" spans="1:8" ht="18.75">
      <c r="A20" s="148">
        <v>14</v>
      </c>
      <c r="B20" s="148" t="s">
        <v>196</v>
      </c>
      <c r="C20" s="148">
        <v>61</v>
      </c>
      <c r="D20" s="158">
        <v>204.09</v>
      </c>
      <c r="E20" s="159">
        <v>1724.8619999999999</v>
      </c>
      <c r="F20" s="159">
        <v>1511.79</v>
      </c>
      <c r="G20" s="159">
        <v>2296.812</v>
      </c>
      <c r="H20" s="148">
        <v>954</v>
      </c>
    </row>
    <row r="21" spans="1:8" ht="18.75">
      <c r="A21" s="148">
        <v>15</v>
      </c>
      <c r="B21" s="148" t="s">
        <v>197</v>
      </c>
      <c r="C21" s="148">
        <v>21</v>
      </c>
      <c r="D21" s="158">
        <v>21</v>
      </c>
      <c r="E21" s="159">
        <v>1.318</v>
      </c>
      <c r="F21" s="159">
        <v>2.652</v>
      </c>
      <c r="G21" s="159">
        <v>912.723</v>
      </c>
      <c r="H21" s="148">
        <v>45</v>
      </c>
    </row>
    <row r="22" spans="1:8" ht="18.75">
      <c r="A22" s="148">
        <v>16</v>
      </c>
      <c r="B22" s="165" t="s">
        <v>198</v>
      </c>
      <c r="C22" s="148">
        <v>117</v>
      </c>
      <c r="D22" s="158">
        <v>117</v>
      </c>
      <c r="E22" s="159">
        <v>850.076</v>
      </c>
      <c r="F22" s="159">
        <v>641.326</v>
      </c>
      <c r="G22" s="159">
        <v>7952.071</v>
      </c>
      <c r="H22" s="148">
        <v>742</v>
      </c>
    </row>
    <row r="23" spans="1:8" ht="18.75">
      <c r="A23" s="148">
        <v>17</v>
      </c>
      <c r="B23" s="166" t="s">
        <v>199</v>
      </c>
      <c r="C23" s="148">
        <v>2</v>
      </c>
      <c r="D23" s="158">
        <v>0</v>
      </c>
      <c r="E23" s="159">
        <v>0.192</v>
      </c>
      <c r="F23" s="159">
        <v>18.617</v>
      </c>
      <c r="G23" s="159">
        <v>217.037</v>
      </c>
      <c r="H23" s="148">
        <v>30</v>
      </c>
    </row>
    <row r="24" spans="1:8" ht="18.75">
      <c r="A24" s="148">
        <v>18</v>
      </c>
      <c r="B24" s="167" t="s">
        <v>200</v>
      </c>
      <c r="C24" s="148">
        <v>1257</v>
      </c>
      <c r="D24" s="158">
        <v>29557.000999999997</v>
      </c>
      <c r="E24" s="159">
        <v>7807.073000000001</v>
      </c>
      <c r="F24" s="159">
        <v>33965.9</v>
      </c>
      <c r="G24" s="159">
        <v>475333.775</v>
      </c>
      <c r="H24" s="148">
        <v>92008</v>
      </c>
    </row>
    <row r="25" spans="1:8" ht="18.75">
      <c r="A25" s="148">
        <v>19</v>
      </c>
      <c r="B25" s="164" t="s">
        <v>201</v>
      </c>
      <c r="C25" s="148">
        <v>327</v>
      </c>
      <c r="D25" s="158">
        <v>349.597</v>
      </c>
      <c r="E25" s="159">
        <v>827.3</v>
      </c>
      <c r="F25" s="159">
        <v>9366.79</v>
      </c>
      <c r="G25" s="159">
        <v>161266.80099999998</v>
      </c>
      <c r="H25" s="148">
        <v>2862</v>
      </c>
    </row>
    <row r="26" spans="1:8" ht="18.75">
      <c r="A26" s="148">
        <v>20</v>
      </c>
      <c r="B26" s="164" t="s">
        <v>202</v>
      </c>
      <c r="C26" s="148">
        <v>2</v>
      </c>
      <c r="D26" s="158">
        <v>1.66</v>
      </c>
      <c r="E26" s="159">
        <v>0</v>
      </c>
      <c r="F26" s="159">
        <v>0</v>
      </c>
      <c r="G26" s="159">
        <v>9.75</v>
      </c>
      <c r="H26" s="148">
        <v>0</v>
      </c>
    </row>
    <row r="27" spans="1:8" ht="18.75">
      <c r="A27" s="148">
        <v>21</v>
      </c>
      <c r="B27" s="167" t="s">
        <v>203</v>
      </c>
      <c r="C27" s="148">
        <v>32</v>
      </c>
      <c r="D27" s="158">
        <v>49.4</v>
      </c>
      <c r="E27" s="159">
        <v>3.216</v>
      </c>
      <c r="F27" s="159">
        <v>7.567</v>
      </c>
      <c r="G27" s="159">
        <v>1008.137</v>
      </c>
      <c r="H27" s="148">
        <v>215</v>
      </c>
    </row>
    <row r="28" spans="1:8" ht="18.75">
      <c r="A28" s="231" t="s">
        <v>204</v>
      </c>
      <c r="B28" s="232"/>
      <c r="C28" s="148">
        <v>0</v>
      </c>
      <c r="D28" s="158">
        <v>0</v>
      </c>
      <c r="E28" s="159">
        <v>0</v>
      </c>
      <c r="F28" s="159">
        <v>0</v>
      </c>
      <c r="G28" s="159">
        <v>303941.3</v>
      </c>
      <c r="H28" s="148">
        <v>0</v>
      </c>
    </row>
    <row r="29" spans="1:8" ht="18.75">
      <c r="A29" s="233" t="s">
        <v>205</v>
      </c>
      <c r="B29" s="234"/>
      <c r="C29" s="148">
        <v>0</v>
      </c>
      <c r="D29" s="158">
        <v>0</v>
      </c>
      <c r="E29" s="159">
        <v>0</v>
      </c>
      <c r="F29" s="159">
        <v>0</v>
      </c>
      <c r="G29" s="159">
        <v>27216.404</v>
      </c>
      <c r="H29" s="148">
        <v>0</v>
      </c>
    </row>
    <row r="30" spans="1:8" ht="18.75">
      <c r="A30" s="168"/>
      <c r="B30" s="148"/>
      <c r="C30" s="168"/>
      <c r="D30" s="169"/>
      <c r="E30" s="170"/>
      <c r="F30" s="170"/>
      <c r="G30" s="170"/>
      <c r="H30" s="168"/>
    </row>
    <row r="31" spans="1:8" ht="18.75">
      <c r="A31" s="168"/>
      <c r="B31" s="171" t="s">
        <v>56</v>
      </c>
      <c r="C31" s="172">
        <f aca="true" t="shared" si="0" ref="C31:H31">SUM(C7:C30)</f>
        <v>8821</v>
      </c>
      <c r="D31" s="173">
        <f t="shared" si="0"/>
        <v>59831.1878</v>
      </c>
      <c r="E31" s="174">
        <f t="shared" si="0"/>
        <v>183687.87499999997</v>
      </c>
      <c r="F31" s="174">
        <f t="shared" si="0"/>
        <v>247718.04200000004</v>
      </c>
      <c r="G31" s="174">
        <f t="shared" si="0"/>
        <v>3525510.053</v>
      </c>
      <c r="H31" s="172">
        <f t="shared" si="0"/>
        <v>259968</v>
      </c>
    </row>
    <row r="33" spans="1:2" ht="15.75">
      <c r="A33" s="175" t="s">
        <v>206</v>
      </c>
      <c r="B33" s="176" t="s">
        <v>207</v>
      </c>
    </row>
    <row r="36" spans="4:7" ht="15.75">
      <c r="D36" s="23"/>
      <c r="E36" s="23"/>
      <c r="F36" s="23"/>
      <c r="G36" s="23"/>
    </row>
  </sheetData>
  <mergeCells count="5">
    <mergeCell ref="A1:H1"/>
    <mergeCell ref="A3:H3"/>
    <mergeCell ref="A28:B28"/>
    <mergeCell ref="A29:B29"/>
    <mergeCell ref="A2:H2"/>
  </mergeCells>
  <printOptions/>
  <pageMargins left="0.7480314960629921" right="0.4330708661417323" top="0.9448818897637796" bottom="0.7086614173228347" header="0.5118110236220472" footer="0.5118110236220472"/>
  <pageSetup fitToHeight="1" fitToWidth="1" horizontalDpi="120" verticalDpi="120" orientation="portrait" paperSize="9" scale="86" r:id="rId1"/>
  <headerFooter alignWithMargins="0">
    <oddFooter>&amp;C&amp;F</oddFooter>
  </headerFooter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33"/>
  <sheetViews>
    <sheetView zoomScaleSheetLayoutView="100" workbookViewId="0" topLeftCell="A1">
      <selection activeCell="L4" sqref="L4"/>
    </sheetView>
  </sheetViews>
  <sheetFormatPr defaultColWidth="9.140625" defaultRowHeight="12.75"/>
  <cols>
    <col min="1" max="1" width="4.8515625" style="1" customWidth="1"/>
    <col min="2" max="2" width="17.140625" style="200" customWidth="1"/>
    <col min="3" max="3" width="6.7109375" style="23" customWidth="1"/>
    <col min="4" max="4" width="10.57421875" style="24" customWidth="1"/>
    <col min="5" max="5" width="14.00390625" style="25" customWidth="1"/>
    <col min="6" max="6" width="13.8515625" style="25" customWidth="1"/>
    <col min="7" max="7" width="14.57421875" style="25" customWidth="1"/>
    <col min="8" max="8" width="9.8515625" style="23" customWidth="1"/>
    <col min="9" max="16384" width="9.140625" style="1" customWidth="1"/>
  </cols>
  <sheetData>
    <row r="1" spans="1:8" ht="27.75">
      <c r="A1" s="228" t="s">
        <v>59</v>
      </c>
      <c r="B1" s="228"/>
      <c r="C1" s="228"/>
      <c r="D1" s="228"/>
      <c r="E1" s="228"/>
      <c r="F1" s="228"/>
      <c r="G1" s="228"/>
      <c r="H1" s="228"/>
    </row>
    <row r="2" spans="1:8" ht="21">
      <c r="A2" s="229" t="s">
        <v>209</v>
      </c>
      <c r="B2" s="229"/>
      <c r="C2" s="229"/>
      <c r="D2" s="229"/>
      <c r="E2" s="229"/>
      <c r="F2" s="229"/>
      <c r="G2" s="229"/>
      <c r="H2" s="229"/>
    </row>
    <row r="3" spans="1:8" ht="22.5">
      <c r="A3" s="155"/>
      <c r="B3" s="177"/>
      <c r="C3" s="155"/>
      <c r="D3" s="131" t="s">
        <v>184</v>
      </c>
      <c r="E3" s="155"/>
      <c r="F3" s="155"/>
      <c r="G3" s="155"/>
      <c r="H3" s="155"/>
    </row>
    <row r="4" spans="1:8" ht="31.5">
      <c r="A4" s="36" t="s">
        <v>3</v>
      </c>
      <c r="B4" s="38" t="s">
        <v>210</v>
      </c>
      <c r="C4" s="38" t="s">
        <v>5</v>
      </c>
      <c r="D4" s="39" t="s">
        <v>6</v>
      </c>
      <c r="E4" s="40" t="s">
        <v>7</v>
      </c>
      <c r="F4" s="41" t="s">
        <v>8</v>
      </c>
      <c r="G4" s="41" t="s">
        <v>9</v>
      </c>
      <c r="H4" s="38" t="s">
        <v>63</v>
      </c>
    </row>
    <row r="5" spans="1:8" ht="15.75">
      <c r="A5" s="21"/>
      <c r="B5" s="178"/>
      <c r="C5" s="54"/>
      <c r="D5" s="45" t="s">
        <v>11</v>
      </c>
      <c r="E5" s="46" t="s">
        <v>64</v>
      </c>
      <c r="F5" s="46" t="s">
        <v>65</v>
      </c>
      <c r="G5" s="46" t="s">
        <v>66</v>
      </c>
      <c r="H5" s="157" t="s">
        <v>15</v>
      </c>
    </row>
    <row r="6" spans="1:8" s="89" customFormat="1" ht="15.75">
      <c r="A6" s="21">
        <v>1</v>
      </c>
      <c r="B6" s="179" t="s">
        <v>161</v>
      </c>
      <c r="C6" s="43">
        <v>13</v>
      </c>
      <c r="D6" s="180">
        <v>84.4</v>
      </c>
      <c r="E6" s="181">
        <v>53.111</v>
      </c>
      <c r="F6" s="181">
        <v>79.666</v>
      </c>
      <c r="G6" s="181">
        <v>3230.333</v>
      </c>
      <c r="H6" s="43">
        <v>198</v>
      </c>
    </row>
    <row r="7" spans="1:8" s="89" customFormat="1" ht="15.75">
      <c r="A7" s="21">
        <v>2</v>
      </c>
      <c r="B7" s="179" t="s">
        <v>211</v>
      </c>
      <c r="C7" s="43">
        <v>3</v>
      </c>
      <c r="D7" s="180">
        <v>3</v>
      </c>
      <c r="E7" s="181">
        <v>0.194</v>
      </c>
      <c r="F7" s="181">
        <v>1.164</v>
      </c>
      <c r="G7" s="181">
        <v>36.205</v>
      </c>
      <c r="H7" s="43">
        <v>0</v>
      </c>
    </row>
    <row r="8" spans="1:8" s="89" customFormat="1" ht="15.75">
      <c r="A8" s="21"/>
      <c r="B8" s="182" t="s">
        <v>143</v>
      </c>
      <c r="C8" s="74">
        <f aca="true" t="shared" si="0" ref="C8:H8">SUM(C6:C7)</f>
        <v>16</v>
      </c>
      <c r="D8" s="183">
        <f t="shared" si="0"/>
        <v>87.4</v>
      </c>
      <c r="E8" s="74">
        <f t="shared" si="0"/>
        <v>53.305</v>
      </c>
      <c r="F8" s="74">
        <f t="shared" si="0"/>
        <v>80.83</v>
      </c>
      <c r="G8" s="74">
        <f t="shared" si="0"/>
        <v>3266.538</v>
      </c>
      <c r="H8" s="74">
        <f t="shared" si="0"/>
        <v>198</v>
      </c>
    </row>
    <row r="9" spans="1:8" s="89" customFormat="1" ht="15.75">
      <c r="A9" s="75"/>
      <c r="B9" s="184"/>
      <c r="C9" s="76"/>
      <c r="D9" s="76"/>
      <c r="E9" s="76"/>
      <c r="F9" s="76"/>
      <c r="G9" s="76"/>
      <c r="H9" s="76"/>
    </row>
    <row r="10" spans="1:7" s="89" customFormat="1" ht="23.25">
      <c r="A10" s="75"/>
      <c r="B10" s="184"/>
      <c r="C10" s="31"/>
      <c r="D10" s="185" t="s">
        <v>185</v>
      </c>
      <c r="E10" s="186"/>
      <c r="F10" s="187"/>
      <c r="G10" s="187"/>
    </row>
    <row r="11" spans="1:8" s="89" customFormat="1" ht="31.5">
      <c r="A11" s="36" t="s">
        <v>3</v>
      </c>
      <c r="B11" s="38" t="s">
        <v>62</v>
      </c>
      <c r="C11" s="114" t="s">
        <v>5</v>
      </c>
      <c r="D11" s="115" t="s">
        <v>6</v>
      </c>
      <c r="E11" s="116" t="s">
        <v>7</v>
      </c>
      <c r="F11" s="41" t="s">
        <v>8</v>
      </c>
      <c r="G11" s="41" t="s">
        <v>9</v>
      </c>
      <c r="H11" s="38" t="s">
        <v>63</v>
      </c>
    </row>
    <row r="12" spans="1:8" s="89" customFormat="1" ht="15.75">
      <c r="A12" s="21"/>
      <c r="B12" s="178"/>
      <c r="C12" s="54"/>
      <c r="D12" s="45" t="s">
        <v>11</v>
      </c>
      <c r="E12" s="46" t="s">
        <v>64</v>
      </c>
      <c r="F12" s="46" t="s">
        <v>65</v>
      </c>
      <c r="G12" s="46" t="s">
        <v>66</v>
      </c>
      <c r="H12" s="157" t="s">
        <v>15</v>
      </c>
    </row>
    <row r="13" spans="1:8" s="89" customFormat="1" ht="15.75">
      <c r="A13" s="43">
        <v>1</v>
      </c>
      <c r="B13" s="179" t="s">
        <v>152</v>
      </c>
      <c r="C13" s="43">
        <v>0</v>
      </c>
      <c r="D13" s="180">
        <v>0</v>
      </c>
      <c r="E13" s="181">
        <v>19.333</v>
      </c>
      <c r="F13" s="181">
        <v>43.5</v>
      </c>
      <c r="G13" s="181">
        <v>29</v>
      </c>
      <c r="H13" s="43">
        <v>100</v>
      </c>
    </row>
    <row r="14" spans="1:8" s="89" customFormat="1" ht="15.75">
      <c r="A14" s="21">
        <v>2</v>
      </c>
      <c r="B14" s="179" t="s">
        <v>165</v>
      </c>
      <c r="C14" s="43">
        <v>0</v>
      </c>
      <c r="D14" s="180">
        <v>0</v>
      </c>
      <c r="E14" s="181">
        <v>0.5</v>
      </c>
      <c r="F14" s="181">
        <v>0.75</v>
      </c>
      <c r="G14" s="181">
        <v>26.2</v>
      </c>
      <c r="H14" s="43">
        <v>2</v>
      </c>
    </row>
    <row r="15" spans="1:8" s="89" customFormat="1" ht="15.75">
      <c r="A15" s="43">
        <v>3</v>
      </c>
      <c r="B15" s="179" t="s">
        <v>147</v>
      </c>
      <c r="C15" s="43">
        <v>0</v>
      </c>
      <c r="D15" s="180">
        <v>0</v>
      </c>
      <c r="E15" s="181">
        <v>115.725</v>
      </c>
      <c r="F15" s="181">
        <v>92.58</v>
      </c>
      <c r="G15" s="181">
        <f>8860+398</f>
        <v>9258</v>
      </c>
      <c r="H15" s="43">
        <v>0</v>
      </c>
    </row>
    <row r="16" spans="1:8" s="89" customFormat="1" ht="15.75">
      <c r="A16" s="21">
        <v>4</v>
      </c>
      <c r="B16" s="179" t="s">
        <v>175</v>
      </c>
      <c r="C16" s="43">
        <v>0</v>
      </c>
      <c r="D16" s="180">
        <v>0</v>
      </c>
      <c r="E16" s="181">
        <v>5892.6</v>
      </c>
      <c r="F16" s="181">
        <v>20152.69</v>
      </c>
      <c r="G16" s="181">
        <v>49256.188</v>
      </c>
      <c r="H16" s="43">
        <v>3904</v>
      </c>
    </row>
    <row r="17" spans="1:8" s="89" customFormat="1" ht="15.75">
      <c r="A17" s="43">
        <v>5</v>
      </c>
      <c r="B17" s="179" t="s">
        <v>173</v>
      </c>
      <c r="C17" s="43">
        <v>0</v>
      </c>
      <c r="D17" s="180">
        <v>0</v>
      </c>
      <c r="E17" s="181">
        <v>65</v>
      </c>
      <c r="F17" s="181">
        <v>650</v>
      </c>
      <c r="G17" s="181">
        <v>520</v>
      </c>
      <c r="H17" s="43">
        <v>60</v>
      </c>
    </row>
    <row r="18" spans="1:8" s="89" customFormat="1" ht="15.75">
      <c r="A18" s="21">
        <v>6</v>
      </c>
      <c r="B18" s="179" t="s">
        <v>148</v>
      </c>
      <c r="C18" s="43">
        <v>0</v>
      </c>
      <c r="D18" s="180">
        <v>0</v>
      </c>
      <c r="E18" s="181">
        <v>191.875</v>
      </c>
      <c r="F18" s="181">
        <v>1439.062</v>
      </c>
      <c r="G18" s="181">
        <v>1420.981</v>
      </c>
      <c r="H18" s="43">
        <v>485</v>
      </c>
    </row>
    <row r="19" spans="1:8" s="89" customFormat="1" ht="15.75">
      <c r="A19" s="43">
        <v>7</v>
      </c>
      <c r="B19" s="179" t="s">
        <v>145</v>
      </c>
      <c r="C19" s="43">
        <v>0</v>
      </c>
      <c r="D19" s="180">
        <v>0</v>
      </c>
      <c r="E19" s="181">
        <v>1226</v>
      </c>
      <c r="F19" s="181">
        <v>7356</v>
      </c>
      <c r="G19" s="181">
        <v>9820.54</v>
      </c>
      <c r="H19" s="43">
        <v>7800</v>
      </c>
    </row>
    <row r="20" spans="1:8" s="89" customFormat="1" ht="15.75">
      <c r="A20" s="21">
        <v>8</v>
      </c>
      <c r="B20" s="179" t="s">
        <v>171</v>
      </c>
      <c r="C20" s="43">
        <v>0</v>
      </c>
      <c r="D20" s="180">
        <v>0</v>
      </c>
      <c r="E20" s="181">
        <v>734</v>
      </c>
      <c r="F20" s="181">
        <v>2202</v>
      </c>
      <c r="G20" s="181">
        <v>5872</v>
      </c>
      <c r="H20" s="43">
        <v>0</v>
      </c>
    </row>
    <row r="21" spans="1:8" ht="15.75">
      <c r="A21" s="43">
        <v>9</v>
      </c>
      <c r="B21" s="179" t="s">
        <v>149</v>
      </c>
      <c r="C21" s="43">
        <v>0</v>
      </c>
      <c r="D21" s="180">
        <v>0</v>
      </c>
      <c r="E21" s="181">
        <v>225.6</v>
      </c>
      <c r="F21" s="181">
        <v>90.3</v>
      </c>
      <c r="G21" s="181">
        <v>1492.28</v>
      </c>
      <c r="H21" s="43">
        <v>600</v>
      </c>
    </row>
    <row r="22" spans="1:8" ht="15.75">
      <c r="A22" s="21">
        <v>10</v>
      </c>
      <c r="B22" s="179" t="s">
        <v>155</v>
      </c>
      <c r="C22" s="43">
        <v>10</v>
      </c>
      <c r="D22" s="180">
        <v>6.76</v>
      </c>
      <c r="E22" s="181">
        <v>343</v>
      </c>
      <c r="F22" s="181">
        <v>480.2</v>
      </c>
      <c r="G22" s="181">
        <v>2433.924</v>
      </c>
      <c r="H22" s="43">
        <v>550</v>
      </c>
    </row>
    <row r="23" spans="1:8" ht="15.75">
      <c r="A23" s="43">
        <v>11</v>
      </c>
      <c r="B23" s="179" t="s">
        <v>212</v>
      </c>
      <c r="C23" s="43">
        <v>0</v>
      </c>
      <c r="D23" s="180">
        <v>0</v>
      </c>
      <c r="E23" s="181">
        <v>148</v>
      </c>
      <c r="F23" s="181">
        <v>44.4</v>
      </c>
      <c r="G23" s="181">
        <v>232</v>
      </c>
      <c r="H23" s="43">
        <v>0</v>
      </c>
    </row>
    <row r="24" spans="1:8" ht="15.75">
      <c r="A24" s="21">
        <v>12</v>
      </c>
      <c r="B24" s="179" t="s">
        <v>164</v>
      </c>
      <c r="C24" s="43">
        <v>0</v>
      </c>
      <c r="D24" s="180">
        <v>0</v>
      </c>
      <c r="E24" s="181">
        <v>173.648</v>
      </c>
      <c r="F24" s="181">
        <v>86.82</v>
      </c>
      <c r="G24" s="181">
        <v>261.472</v>
      </c>
      <c r="H24" s="43">
        <v>150</v>
      </c>
    </row>
    <row r="25" spans="1:8" ht="15.75">
      <c r="A25" s="43">
        <v>13</v>
      </c>
      <c r="B25" s="179" t="s">
        <v>213</v>
      </c>
      <c r="C25" s="43">
        <v>0</v>
      </c>
      <c r="D25" s="180">
        <v>0</v>
      </c>
      <c r="E25" s="181">
        <v>369.625</v>
      </c>
      <c r="F25" s="181">
        <v>110.888</v>
      </c>
      <c r="G25" s="181">
        <v>3038</v>
      </c>
      <c r="H25" s="43">
        <v>300</v>
      </c>
    </row>
    <row r="26" spans="1:8" ht="15.75">
      <c r="A26" s="21">
        <v>14</v>
      </c>
      <c r="B26" s="179" t="s">
        <v>146</v>
      </c>
      <c r="C26" s="43">
        <v>0</v>
      </c>
      <c r="D26" s="180">
        <v>0</v>
      </c>
      <c r="E26" s="181">
        <v>2550.75</v>
      </c>
      <c r="F26" s="181">
        <v>637.68</v>
      </c>
      <c r="G26" s="181">
        <v>20799</v>
      </c>
      <c r="H26" s="43">
        <v>2350</v>
      </c>
    </row>
    <row r="27" spans="1:8" ht="15.75">
      <c r="A27" s="43">
        <v>15</v>
      </c>
      <c r="B27" s="179" t="s">
        <v>176</v>
      </c>
      <c r="C27" s="43">
        <v>6</v>
      </c>
      <c r="D27" s="180">
        <v>6</v>
      </c>
      <c r="E27" s="181">
        <v>0.76</v>
      </c>
      <c r="F27" s="181">
        <v>0.76</v>
      </c>
      <c r="G27" s="181">
        <v>22.29</v>
      </c>
      <c r="H27" s="43">
        <v>6</v>
      </c>
    </row>
    <row r="28" spans="1:8" ht="15.75">
      <c r="A28" s="21">
        <v>16</v>
      </c>
      <c r="B28" s="179" t="s">
        <v>167</v>
      </c>
      <c r="C28" s="43">
        <v>0</v>
      </c>
      <c r="D28" s="180">
        <v>0</v>
      </c>
      <c r="E28" s="181">
        <v>216.448</v>
      </c>
      <c r="F28" s="181">
        <v>86.579</v>
      </c>
      <c r="G28" s="181">
        <v>57</v>
      </c>
      <c r="H28" s="43">
        <v>30</v>
      </c>
    </row>
    <row r="29" spans="1:8" ht="15.75">
      <c r="A29" s="43">
        <v>17</v>
      </c>
      <c r="B29" s="179" t="s">
        <v>142</v>
      </c>
      <c r="C29" s="43">
        <v>0</v>
      </c>
      <c r="D29" s="180">
        <v>0</v>
      </c>
      <c r="E29" s="181">
        <v>1668.75</v>
      </c>
      <c r="F29" s="181">
        <v>500.625</v>
      </c>
      <c r="G29" s="181">
        <v>13350</v>
      </c>
      <c r="H29" s="43">
        <v>1610</v>
      </c>
    </row>
    <row r="30" spans="1:8" ht="15.75">
      <c r="A30" s="21">
        <v>18</v>
      </c>
      <c r="B30" s="179" t="s">
        <v>214</v>
      </c>
      <c r="C30" s="43">
        <v>0</v>
      </c>
      <c r="D30" s="180">
        <v>0</v>
      </c>
      <c r="E30" s="181">
        <f>894.807+2.7</f>
        <v>897.5070000000001</v>
      </c>
      <c r="F30" s="181">
        <v>492.144</v>
      </c>
      <c r="G30" s="181">
        <f>243.5+159.98</f>
        <v>403.48</v>
      </c>
      <c r="H30" s="43">
        <v>0</v>
      </c>
    </row>
    <row r="31" spans="1:8" ht="15.75">
      <c r="A31" s="21"/>
      <c r="B31" s="182" t="s">
        <v>143</v>
      </c>
      <c r="C31" s="65">
        <f aca="true" t="shared" si="1" ref="C31:H31">SUM(C13:C30)</f>
        <v>16</v>
      </c>
      <c r="D31" s="65">
        <f t="shared" si="1"/>
        <v>12.76</v>
      </c>
      <c r="E31" s="65">
        <f t="shared" si="1"/>
        <v>14839.121</v>
      </c>
      <c r="F31" s="74">
        <f t="shared" si="1"/>
        <v>34466.978</v>
      </c>
      <c r="G31" s="74">
        <f t="shared" si="1"/>
        <v>118292.355</v>
      </c>
      <c r="H31" s="74">
        <f t="shared" si="1"/>
        <v>17947</v>
      </c>
    </row>
    <row r="32" spans="1:8" ht="15.75">
      <c r="A32" s="75"/>
      <c r="B32" s="188"/>
      <c r="C32" s="104"/>
      <c r="D32" s="104"/>
      <c r="E32" s="104"/>
      <c r="F32" s="76"/>
      <c r="G32" s="76"/>
      <c r="H32" s="76"/>
    </row>
    <row r="33" spans="1:8" ht="23.25">
      <c r="A33" s="75"/>
      <c r="B33" s="189"/>
      <c r="C33" s="31"/>
      <c r="D33" s="185" t="s">
        <v>186</v>
      </c>
      <c r="E33" s="186"/>
      <c r="F33" s="187"/>
      <c r="G33" s="187"/>
      <c r="H33" s="89"/>
    </row>
    <row r="34" spans="1:8" ht="31.5">
      <c r="A34" s="36" t="s">
        <v>3</v>
      </c>
      <c r="B34" s="114" t="s">
        <v>62</v>
      </c>
      <c r="C34" s="114" t="s">
        <v>5</v>
      </c>
      <c r="D34" s="115" t="s">
        <v>6</v>
      </c>
      <c r="E34" s="116" t="s">
        <v>7</v>
      </c>
      <c r="F34" s="41" t="s">
        <v>8</v>
      </c>
      <c r="G34" s="41" t="s">
        <v>9</v>
      </c>
      <c r="H34" s="38" t="s">
        <v>63</v>
      </c>
    </row>
    <row r="35" spans="1:8" ht="15.75">
      <c r="A35" s="21"/>
      <c r="B35" s="178"/>
      <c r="C35" s="54"/>
      <c r="D35" s="45" t="s">
        <v>11</v>
      </c>
      <c r="E35" s="46" t="s">
        <v>64</v>
      </c>
      <c r="F35" s="46" t="s">
        <v>65</v>
      </c>
      <c r="G35" s="46" t="s">
        <v>66</v>
      </c>
      <c r="H35" s="157" t="s">
        <v>15</v>
      </c>
    </row>
    <row r="36" spans="1:8" ht="15.75">
      <c r="A36" s="21">
        <v>1</v>
      </c>
      <c r="B36" s="179" t="s">
        <v>211</v>
      </c>
      <c r="C36" s="43">
        <v>1</v>
      </c>
      <c r="D36" s="180">
        <v>5</v>
      </c>
      <c r="E36" s="181">
        <v>0</v>
      </c>
      <c r="F36" s="181">
        <v>0</v>
      </c>
      <c r="G36" s="181">
        <v>1.5</v>
      </c>
      <c r="H36" s="43">
        <v>0</v>
      </c>
    </row>
    <row r="37" spans="1:8" ht="15.75">
      <c r="A37" s="21">
        <v>2</v>
      </c>
      <c r="B37" s="179" t="s">
        <v>145</v>
      </c>
      <c r="C37" s="43">
        <v>3</v>
      </c>
      <c r="D37" s="180">
        <v>4</v>
      </c>
      <c r="E37" s="181">
        <v>0.152</v>
      </c>
      <c r="F37" s="181">
        <v>0.76</v>
      </c>
      <c r="G37" s="181">
        <v>94.432</v>
      </c>
      <c r="H37" s="43">
        <v>3</v>
      </c>
    </row>
    <row r="38" spans="1:8" ht="15.75">
      <c r="A38" s="110">
        <v>3</v>
      </c>
      <c r="B38" s="179" t="s">
        <v>171</v>
      </c>
      <c r="C38" s="43">
        <v>4</v>
      </c>
      <c r="D38" s="180">
        <v>1.96</v>
      </c>
      <c r="E38" s="181">
        <v>0.636</v>
      </c>
      <c r="F38" s="181">
        <v>0.636</v>
      </c>
      <c r="G38" s="181">
        <v>35</v>
      </c>
      <c r="H38" s="43">
        <v>8</v>
      </c>
    </row>
    <row r="39" spans="1:8" ht="15.75">
      <c r="A39" s="21"/>
      <c r="B39" s="182" t="s">
        <v>143</v>
      </c>
      <c r="C39" s="74">
        <f aca="true" t="shared" si="2" ref="C39:H39">SUM(C36:C38)</f>
        <v>8</v>
      </c>
      <c r="D39" s="74">
        <f t="shared" si="2"/>
        <v>10.96</v>
      </c>
      <c r="E39" s="74">
        <f t="shared" si="2"/>
        <v>0.788</v>
      </c>
      <c r="F39" s="74">
        <f t="shared" si="2"/>
        <v>1.396</v>
      </c>
      <c r="G39" s="74">
        <f t="shared" si="2"/>
        <v>130.93200000000002</v>
      </c>
      <c r="H39" s="74">
        <f t="shared" si="2"/>
        <v>11</v>
      </c>
    </row>
    <row r="40" spans="1:8" ht="15.75">
      <c r="A40" s="75"/>
      <c r="B40" s="184"/>
      <c r="C40" s="76"/>
      <c r="D40" s="76"/>
      <c r="E40" s="76"/>
      <c r="F40" s="76"/>
      <c r="G40" s="76"/>
      <c r="H40" s="76"/>
    </row>
    <row r="41" spans="1:8" ht="23.25">
      <c r="A41" s="75"/>
      <c r="B41" s="189"/>
      <c r="C41" s="31"/>
      <c r="D41" s="185" t="s">
        <v>215</v>
      </c>
      <c r="E41" s="186"/>
      <c r="F41" s="187"/>
      <c r="G41" s="187"/>
      <c r="H41" s="89"/>
    </row>
    <row r="42" spans="1:8" ht="31.5">
      <c r="A42" s="36" t="s">
        <v>3</v>
      </c>
      <c r="B42" s="114" t="s">
        <v>62</v>
      </c>
      <c r="C42" s="114" t="s">
        <v>5</v>
      </c>
      <c r="D42" s="115" t="s">
        <v>6</v>
      </c>
      <c r="E42" s="116" t="s">
        <v>7</v>
      </c>
      <c r="F42" s="41" t="s">
        <v>8</v>
      </c>
      <c r="G42" s="41" t="s">
        <v>9</v>
      </c>
      <c r="H42" s="38" t="s">
        <v>63</v>
      </c>
    </row>
    <row r="43" spans="1:8" ht="15.75">
      <c r="A43" s="21"/>
      <c r="B43" s="178"/>
      <c r="C43" s="54"/>
      <c r="D43" s="45" t="s">
        <v>11</v>
      </c>
      <c r="E43" s="46" t="s">
        <v>64</v>
      </c>
      <c r="F43" s="46" t="s">
        <v>65</v>
      </c>
      <c r="G43" s="46" t="s">
        <v>66</v>
      </c>
      <c r="H43" s="157" t="s">
        <v>15</v>
      </c>
    </row>
    <row r="44" spans="1:8" ht="15.75">
      <c r="A44" s="21">
        <v>1</v>
      </c>
      <c r="B44" s="179" t="s">
        <v>179</v>
      </c>
      <c r="C44" s="43">
        <v>0</v>
      </c>
      <c r="D44" s="180">
        <v>0</v>
      </c>
      <c r="E44" s="181">
        <v>0</v>
      </c>
      <c r="F44" s="181">
        <v>0</v>
      </c>
      <c r="G44" s="181">
        <v>53.508</v>
      </c>
      <c r="H44" s="43">
        <v>0</v>
      </c>
    </row>
    <row r="45" spans="1:8" ht="15.75">
      <c r="A45" s="110">
        <v>2</v>
      </c>
      <c r="B45" s="179" t="s">
        <v>216</v>
      </c>
      <c r="C45" s="43">
        <v>7</v>
      </c>
      <c r="D45" s="180">
        <v>3.46</v>
      </c>
      <c r="E45" s="181">
        <v>2.537</v>
      </c>
      <c r="F45" s="181">
        <v>2.537</v>
      </c>
      <c r="G45" s="181">
        <v>310.203</v>
      </c>
      <c r="H45" s="43">
        <v>26</v>
      </c>
    </row>
    <row r="46" spans="1:8" ht="15.75">
      <c r="A46" s="21">
        <v>3</v>
      </c>
      <c r="B46" s="179" t="s">
        <v>150</v>
      </c>
      <c r="C46" s="43">
        <v>42</v>
      </c>
      <c r="D46" s="180">
        <v>37.74</v>
      </c>
      <c r="E46" s="181">
        <v>204.1</v>
      </c>
      <c r="F46" s="181">
        <v>265.33</v>
      </c>
      <c r="G46" s="181">
        <v>10432.175</v>
      </c>
      <c r="H46" s="43">
        <v>378</v>
      </c>
    </row>
    <row r="47" spans="1:8" ht="15.75">
      <c r="A47" s="21"/>
      <c r="B47" s="182" t="s">
        <v>143</v>
      </c>
      <c r="C47" s="74">
        <f aca="true" t="shared" si="3" ref="C47:H47">SUM(C44:C46)</f>
        <v>49</v>
      </c>
      <c r="D47" s="74">
        <f t="shared" si="3"/>
        <v>41.2</v>
      </c>
      <c r="E47" s="74">
        <f t="shared" si="3"/>
        <v>206.637</v>
      </c>
      <c r="F47" s="74">
        <f t="shared" si="3"/>
        <v>267.86699999999996</v>
      </c>
      <c r="G47" s="74">
        <f t="shared" si="3"/>
        <v>10795.885999999999</v>
      </c>
      <c r="H47" s="74">
        <f t="shared" si="3"/>
        <v>404</v>
      </c>
    </row>
    <row r="48" spans="1:8" ht="15.75">
      <c r="A48" s="75"/>
      <c r="B48" s="184"/>
      <c r="C48" s="76"/>
      <c r="D48" s="76"/>
      <c r="E48" s="76"/>
      <c r="F48" s="76"/>
      <c r="G48" s="76"/>
      <c r="H48" s="76"/>
    </row>
    <row r="49" spans="1:8" ht="18.75" customHeight="1">
      <c r="A49" s="75"/>
      <c r="B49" s="184"/>
      <c r="C49" s="230" t="s">
        <v>224</v>
      </c>
      <c r="D49" s="230"/>
      <c r="E49" s="230"/>
      <c r="F49" s="230"/>
      <c r="G49" s="230"/>
      <c r="H49" s="89"/>
    </row>
    <row r="50" spans="1:8" ht="31.5">
      <c r="A50" s="36" t="s">
        <v>3</v>
      </c>
      <c r="B50" s="38" t="s">
        <v>62</v>
      </c>
      <c r="C50" s="38" t="s">
        <v>5</v>
      </c>
      <c r="D50" s="39" t="s">
        <v>6</v>
      </c>
      <c r="E50" s="40" t="s">
        <v>7</v>
      </c>
      <c r="F50" s="41" t="s">
        <v>8</v>
      </c>
      <c r="G50" s="41" t="s">
        <v>9</v>
      </c>
      <c r="H50" s="38" t="s">
        <v>63</v>
      </c>
    </row>
    <row r="51" spans="1:8" ht="15.75">
      <c r="A51" s="21"/>
      <c r="B51" s="178"/>
      <c r="C51" s="54"/>
      <c r="D51" s="45" t="s">
        <v>11</v>
      </c>
      <c r="E51" s="46" t="s">
        <v>64</v>
      </c>
      <c r="F51" s="46" t="s">
        <v>65</v>
      </c>
      <c r="G51" s="46" t="s">
        <v>66</v>
      </c>
      <c r="H51" s="157" t="s">
        <v>15</v>
      </c>
    </row>
    <row r="52" spans="1:8" ht="18.75" customHeight="1">
      <c r="A52" s="21">
        <v>1</v>
      </c>
      <c r="B52" s="179" t="s">
        <v>161</v>
      </c>
      <c r="C52" s="43">
        <v>24</v>
      </c>
      <c r="D52" s="180">
        <v>55.43</v>
      </c>
      <c r="E52" s="181">
        <v>7.01</v>
      </c>
      <c r="F52" s="181">
        <v>49.068</v>
      </c>
      <c r="G52" s="181">
        <v>473.552</v>
      </c>
      <c r="H52" s="43">
        <v>145</v>
      </c>
    </row>
    <row r="53" spans="1:8" ht="18.75" customHeight="1">
      <c r="A53" s="21">
        <v>2</v>
      </c>
      <c r="B53" s="179" t="s">
        <v>149</v>
      </c>
      <c r="C53" s="43">
        <v>1</v>
      </c>
      <c r="D53" s="180">
        <v>1</v>
      </c>
      <c r="E53" s="181">
        <v>1.77</v>
      </c>
      <c r="F53" s="181">
        <v>0.354</v>
      </c>
      <c r="G53" s="181">
        <v>26.25</v>
      </c>
      <c r="H53" s="43">
        <v>8</v>
      </c>
    </row>
    <row r="54" spans="1:8" ht="18.75" customHeight="1">
      <c r="A54" s="43">
        <v>3</v>
      </c>
      <c r="B54" s="179" t="s">
        <v>155</v>
      </c>
      <c r="C54" s="43">
        <v>1</v>
      </c>
      <c r="D54" s="180">
        <v>1300</v>
      </c>
      <c r="E54" s="181">
        <v>3</v>
      </c>
      <c r="F54" s="181">
        <v>6</v>
      </c>
      <c r="G54" s="181">
        <v>110</v>
      </c>
      <c r="H54" s="43">
        <v>3</v>
      </c>
    </row>
    <row r="55" spans="1:8" ht="18.75" customHeight="1">
      <c r="A55" s="43">
        <v>4</v>
      </c>
      <c r="B55" s="179" t="s">
        <v>167</v>
      </c>
      <c r="C55" s="21">
        <v>1</v>
      </c>
      <c r="D55" s="190">
        <v>1</v>
      </c>
      <c r="E55" s="21">
        <v>3.909</v>
      </c>
      <c r="F55" s="21">
        <v>3.909</v>
      </c>
      <c r="G55" s="191">
        <v>43</v>
      </c>
      <c r="H55" s="21">
        <v>7</v>
      </c>
    </row>
    <row r="56" spans="1:8" ht="18.75" customHeight="1">
      <c r="A56" s="43">
        <v>5</v>
      </c>
      <c r="B56" s="179" t="s">
        <v>142</v>
      </c>
      <c r="C56" s="43">
        <v>2</v>
      </c>
      <c r="D56" s="180">
        <v>566</v>
      </c>
      <c r="E56" s="181">
        <v>1.902</v>
      </c>
      <c r="F56" s="181">
        <v>1.902</v>
      </c>
      <c r="G56" s="181">
        <v>478.648</v>
      </c>
      <c r="H56" s="43">
        <v>20</v>
      </c>
    </row>
    <row r="57" spans="1:8" s="20" customFormat="1" ht="15.75">
      <c r="A57" s="110"/>
      <c r="B57" s="182" t="s">
        <v>143</v>
      </c>
      <c r="C57" s="74">
        <f aca="true" t="shared" si="4" ref="C57:H57">SUM(C52:C56)</f>
        <v>29</v>
      </c>
      <c r="D57" s="74">
        <f t="shared" si="4"/>
        <v>1923.43</v>
      </c>
      <c r="E57" s="74">
        <f t="shared" si="4"/>
        <v>17.591</v>
      </c>
      <c r="F57" s="74">
        <f t="shared" si="4"/>
        <v>61.233</v>
      </c>
      <c r="G57" s="74">
        <f t="shared" si="4"/>
        <v>1131.45</v>
      </c>
      <c r="H57" s="74">
        <f t="shared" si="4"/>
        <v>183</v>
      </c>
    </row>
    <row r="58" spans="1:8" s="20" customFormat="1" ht="15.75">
      <c r="A58" s="75"/>
      <c r="B58" s="184"/>
      <c r="C58" s="76"/>
      <c r="D58" s="76"/>
      <c r="E58" s="76"/>
      <c r="F58" s="76"/>
      <c r="G58" s="76"/>
      <c r="H58" s="76"/>
    </row>
    <row r="59" spans="1:8" s="20" customFormat="1" ht="22.5">
      <c r="A59" s="75"/>
      <c r="B59" s="184"/>
      <c r="C59" s="89"/>
      <c r="D59" s="131" t="s">
        <v>188</v>
      </c>
      <c r="E59" s="187"/>
      <c r="F59" s="187"/>
      <c r="G59" s="187"/>
      <c r="H59" s="89"/>
    </row>
    <row r="60" spans="1:8" s="20" customFormat="1" ht="31.5">
      <c r="A60" s="36" t="s">
        <v>3</v>
      </c>
      <c r="B60" s="38" t="s">
        <v>62</v>
      </c>
      <c r="C60" s="38" t="s">
        <v>5</v>
      </c>
      <c r="D60" s="39" t="s">
        <v>6</v>
      </c>
      <c r="E60" s="40" t="s">
        <v>7</v>
      </c>
      <c r="F60" s="41" t="s">
        <v>8</v>
      </c>
      <c r="G60" s="41" t="s">
        <v>9</v>
      </c>
      <c r="H60" s="38" t="s">
        <v>63</v>
      </c>
    </row>
    <row r="61" spans="1:8" s="20" customFormat="1" ht="15.75">
      <c r="A61" s="21"/>
      <c r="B61" s="178"/>
      <c r="C61" s="54"/>
      <c r="D61" s="45" t="s">
        <v>11</v>
      </c>
      <c r="E61" s="46" t="s">
        <v>64</v>
      </c>
      <c r="F61" s="46" t="s">
        <v>65</v>
      </c>
      <c r="G61" s="46" t="s">
        <v>66</v>
      </c>
      <c r="H61" s="157" t="s">
        <v>15</v>
      </c>
    </row>
    <row r="62" spans="1:8" s="20" customFormat="1" ht="15.75">
      <c r="A62" s="43">
        <v>1</v>
      </c>
      <c r="B62" s="179" t="s">
        <v>161</v>
      </c>
      <c r="C62" s="43">
        <v>39</v>
      </c>
      <c r="D62" s="180">
        <v>84.72</v>
      </c>
      <c r="E62" s="181">
        <v>127.26</v>
      </c>
      <c r="F62" s="181">
        <v>396.156</v>
      </c>
      <c r="G62" s="181">
        <v>2034.552</v>
      </c>
      <c r="H62" s="43">
        <v>380</v>
      </c>
    </row>
    <row r="63" spans="1:8" s="20" customFormat="1" ht="15.75">
      <c r="A63" s="21">
        <v>2</v>
      </c>
      <c r="B63" s="179" t="s">
        <v>156</v>
      </c>
      <c r="C63" s="43">
        <v>76</v>
      </c>
      <c r="D63" s="180">
        <v>201.24</v>
      </c>
      <c r="E63" s="181">
        <v>47.454</v>
      </c>
      <c r="F63" s="181">
        <v>949.08</v>
      </c>
      <c r="G63" s="181">
        <v>6169</v>
      </c>
      <c r="H63" s="43">
        <v>228</v>
      </c>
    </row>
    <row r="64" spans="1:8" ht="15.75">
      <c r="A64" s="43">
        <v>3</v>
      </c>
      <c r="B64" s="179" t="s">
        <v>160</v>
      </c>
      <c r="C64" s="43">
        <v>0</v>
      </c>
      <c r="D64" s="180">
        <v>0</v>
      </c>
      <c r="E64" s="181">
        <v>0</v>
      </c>
      <c r="F64" s="181">
        <v>0</v>
      </c>
      <c r="G64" s="181">
        <v>49.35</v>
      </c>
      <c r="H64" s="43">
        <v>0</v>
      </c>
    </row>
    <row r="65" spans="1:8" ht="15.75">
      <c r="A65" s="21">
        <v>4</v>
      </c>
      <c r="B65" s="179" t="s">
        <v>173</v>
      </c>
      <c r="C65" s="43">
        <v>2</v>
      </c>
      <c r="D65" s="180">
        <v>2</v>
      </c>
      <c r="E65" s="181">
        <v>0.68</v>
      </c>
      <c r="F65" s="181">
        <v>3.4</v>
      </c>
      <c r="G65" s="181">
        <v>51</v>
      </c>
      <c r="H65" s="43">
        <v>12</v>
      </c>
    </row>
    <row r="66" spans="1:8" ht="15.75">
      <c r="A66" s="43">
        <v>5</v>
      </c>
      <c r="B66" s="179" t="s">
        <v>153</v>
      </c>
      <c r="C66" s="43">
        <v>24</v>
      </c>
      <c r="D66" s="180">
        <v>69.55</v>
      </c>
      <c r="E66" s="181">
        <v>3.705</v>
      </c>
      <c r="F66" s="181">
        <v>33.345</v>
      </c>
      <c r="G66" s="181">
        <v>1331.265</v>
      </c>
      <c r="H66" s="43">
        <f>8*24</f>
        <v>192</v>
      </c>
    </row>
    <row r="67" spans="1:8" ht="15.75">
      <c r="A67" s="21">
        <v>6</v>
      </c>
      <c r="B67" s="179" t="s">
        <v>148</v>
      </c>
      <c r="C67" s="43">
        <v>13</v>
      </c>
      <c r="D67" s="180">
        <v>21.06</v>
      </c>
      <c r="E67" s="181">
        <v>7.489</v>
      </c>
      <c r="F67" s="181">
        <v>101.1</v>
      </c>
      <c r="G67" s="181">
        <v>893.159</v>
      </c>
      <c r="H67" s="43">
        <v>53</v>
      </c>
    </row>
    <row r="68" spans="1:8" ht="15.75">
      <c r="A68" s="43">
        <v>7</v>
      </c>
      <c r="B68" s="179" t="s">
        <v>145</v>
      </c>
      <c r="C68" s="43">
        <v>1</v>
      </c>
      <c r="D68" s="180">
        <v>4</v>
      </c>
      <c r="E68" s="181">
        <v>0.167</v>
      </c>
      <c r="F68" s="181">
        <v>1.67</v>
      </c>
      <c r="G68" s="181">
        <v>95.522</v>
      </c>
      <c r="H68" s="43">
        <v>1</v>
      </c>
    </row>
    <row r="69" spans="1:8" ht="15.75">
      <c r="A69" s="21">
        <v>8</v>
      </c>
      <c r="B69" s="179" t="s">
        <v>149</v>
      </c>
      <c r="C69" s="43">
        <v>5</v>
      </c>
      <c r="D69" s="180">
        <v>5</v>
      </c>
      <c r="E69" s="181">
        <v>0.201</v>
      </c>
      <c r="F69" s="181">
        <v>1.005</v>
      </c>
      <c r="G69" s="181">
        <v>335.285</v>
      </c>
      <c r="H69" s="43">
        <v>10</v>
      </c>
    </row>
    <row r="70" spans="1:8" ht="15.75">
      <c r="A70" s="43">
        <v>9</v>
      </c>
      <c r="B70" s="179" t="s">
        <v>217</v>
      </c>
      <c r="C70" s="43">
        <v>0</v>
      </c>
      <c r="D70" s="180">
        <v>0</v>
      </c>
      <c r="E70" s="181">
        <v>0</v>
      </c>
      <c r="F70" s="181">
        <v>0</v>
      </c>
      <c r="G70" s="181">
        <v>5.075</v>
      </c>
      <c r="H70" s="43">
        <v>0</v>
      </c>
    </row>
    <row r="71" spans="1:8" ht="15.75">
      <c r="A71" s="21">
        <v>10</v>
      </c>
      <c r="B71" s="179" t="s">
        <v>146</v>
      </c>
      <c r="C71" s="43">
        <v>3</v>
      </c>
      <c r="D71" s="180">
        <v>5.88</v>
      </c>
      <c r="E71" s="181">
        <v>0.825</v>
      </c>
      <c r="F71" s="181">
        <v>2.47</v>
      </c>
      <c r="G71" s="181">
        <v>119</v>
      </c>
      <c r="H71" s="43">
        <v>5</v>
      </c>
    </row>
    <row r="72" spans="1:8" ht="15.75">
      <c r="A72" s="43">
        <v>11</v>
      </c>
      <c r="B72" s="179" t="s">
        <v>170</v>
      </c>
      <c r="C72" s="43">
        <v>294</v>
      </c>
      <c r="D72" s="180">
        <v>515.66</v>
      </c>
      <c r="E72" s="181">
        <v>120.078</v>
      </c>
      <c r="F72" s="181">
        <v>600.39</v>
      </c>
      <c r="G72" s="181">
        <f>27816+253.5</f>
        <v>28069.5</v>
      </c>
      <c r="H72" s="43">
        <v>1470</v>
      </c>
    </row>
    <row r="73" spans="1:8" ht="15.75">
      <c r="A73" s="21">
        <v>12</v>
      </c>
      <c r="B73" s="179" t="s">
        <v>176</v>
      </c>
      <c r="C73" s="43">
        <v>20</v>
      </c>
      <c r="D73" s="180">
        <v>335.937</v>
      </c>
      <c r="E73" s="181">
        <v>7.267</v>
      </c>
      <c r="F73" s="181">
        <v>58.136</v>
      </c>
      <c r="G73" s="181">
        <v>1363.4</v>
      </c>
      <c r="H73" s="43">
        <v>60</v>
      </c>
    </row>
    <row r="74" spans="1:8" ht="15.75">
      <c r="A74" s="43">
        <v>13</v>
      </c>
      <c r="B74" s="179" t="s">
        <v>150</v>
      </c>
      <c r="C74" s="43">
        <v>1</v>
      </c>
      <c r="D74" s="180">
        <v>1</v>
      </c>
      <c r="E74" s="181">
        <v>0</v>
      </c>
      <c r="F74" s="181">
        <v>0</v>
      </c>
      <c r="G74" s="181">
        <v>11</v>
      </c>
      <c r="H74" s="43">
        <v>0</v>
      </c>
    </row>
    <row r="75" spans="1:8" ht="15.75">
      <c r="A75" s="21">
        <v>14</v>
      </c>
      <c r="B75" s="179" t="s">
        <v>142</v>
      </c>
      <c r="C75" s="43">
        <v>23</v>
      </c>
      <c r="D75" s="180">
        <v>29.81</v>
      </c>
      <c r="E75" s="181">
        <v>1.193</v>
      </c>
      <c r="F75" s="181">
        <v>11.93</v>
      </c>
      <c r="G75" s="181">
        <v>1435.099</v>
      </c>
      <c r="H75" s="43">
        <v>150</v>
      </c>
    </row>
    <row r="76" spans="1:8" ht="15.75">
      <c r="A76" s="43">
        <v>15</v>
      </c>
      <c r="B76" s="179" t="s">
        <v>159</v>
      </c>
      <c r="C76" s="43">
        <v>33</v>
      </c>
      <c r="D76" s="180">
        <v>55</v>
      </c>
      <c r="E76" s="181">
        <v>6.162</v>
      </c>
      <c r="F76" s="181">
        <v>43.13</v>
      </c>
      <c r="G76" s="181">
        <v>802</v>
      </c>
      <c r="H76" s="43">
        <v>135</v>
      </c>
    </row>
    <row r="77" spans="1:8" ht="15.75">
      <c r="A77" s="21">
        <v>16</v>
      </c>
      <c r="B77" s="179" t="s">
        <v>214</v>
      </c>
      <c r="C77" s="43">
        <v>34</v>
      </c>
      <c r="D77" s="180">
        <v>53</v>
      </c>
      <c r="E77" s="181">
        <v>12.611</v>
      </c>
      <c r="F77" s="181">
        <v>138.721</v>
      </c>
      <c r="G77" s="181">
        <v>1265.387</v>
      </c>
      <c r="H77" s="43">
        <v>238</v>
      </c>
    </row>
    <row r="78" spans="1:8" ht="15.75">
      <c r="A78" s="21"/>
      <c r="B78" s="182" t="s">
        <v>143</v>
      </c>
      <c r="C78" s="74">
        <f aca="true" t="shared" si="5" ref="C78:H78">SUM(C62:C77)</f>
        <v>568</v>
      </c>
      <c r="D78" s="183">
        <f t="shared" si="5"/>
        <v>1383.857</v>
      </c>
      <c r="E78" s="74">
        <f t="shared" si="5"/>
        <v>335.092</v>
      </c>
      <c r="F78" s="74">
        <f t="shared" si="5"/>
        <v>2340.5330000000004</v>
      </c>
      <c r="G78" s="74">
        <f t="shared" si="5"/>
        <v>44029.594000000005</v>
      </c>
      <c r="H78" s="74">
        <f t="shared" si="5"/>
        <v>2934</v>
      </c>
    </row>
    <row r="79" spans="1:8" ht="15.75">
      <c r="A79" s="75"/>
      <c r="B79" s="184"/>
      <c r="C79" s="76"/>
      <c r="D79" s="76"/>
      <c r="E79" s="76"/>
      <c r="F79" s="76"/>
      <c r="G79" s="76"/>
      <c r="H79" s="76"/>
    </row>
    <row r="80" spans="1:8" ht="22.5">
      <c r="A80" s="75"/>
      <c r="B80" s="184"/>
      <c r="C80" s="89"/>
      <c r="D80" s="133" t="s">
        <v>189</v>
      </c>
      <c r="E80" s="187"/>
      <c r="F80" s="187"/>
      <c r="G80" s="187"/>
      <c r="H80" s="89"/>
    </row>
    <row r="81" spans="1:8" ht="31.5">
      <c r="A81" s="36" t="s">
        <v>3</v>
      </c>
      <c r="B81" s="38" t="s">
        <v>62</v>
      </c>
      <c r="C81" s="38" t="s">
        <v>5</v>
      </c>
      <c r="D81" s="115" t="s">
        <v>6</v>
      </c>
      <c r="E81" s="40" t="s">
        <v>7</v>
      </c>
      <c r="F81" s="41" t="s">
        <v>8</v>
      </c>
      <c r="G81" s="41" t="s">
        <v>9</v>
      </c>
      <c r="H81" s="38" t="s">
        <v>63</v>
      </c>
    </row>
    <row r="82" spans="1:8" ht="15.75">
      <c r="A82" s="21"/>
      <c r="B82" s="178"/>
      <c r="C82" s="54"/>
      <c r="D82" s="45" t="s">
        <v>11</v>
      </c>
      <c r="E82" s="46" t="s">
        <v>64</v>
      </c>
      <c r="F82" s="46" t="s">
        <v>65</v>
      </c>
      <c r="G82" s="46" t="s">
        <v>66</v>
      </c>
      <c r="H82" s="157" t="s">
        <v>15</v>
      </c>
    </row>
    <row r="83" spans="1:8" ht="15.75">
      <c r="A83" s="43">
        <v>1</v>
      </c>
      <c r="B83" s="179" t="s">
        <v>218</v>
      </c>
      <c r="C83" s="43">
        <v>0</v>
      </c>
      <c r="D83" s="180">
        <v>0</v>
      </c>
      <c r="E83" s="181">
        <v>28.858</v>
      </c>
      <c r="F83" s="181">
        <v>14.429</v>
      </c>
      <c r="G83" s="181">
        <v>234.728</v>
      </c>
      <c r="H83" s="43">
        <v>975</v>
      </c>
    </row>
    <row r="84" spans="1:8" ht="15.75">
      <c r="A84" s="21">
        <v>2</v>
      </c>
      <c r="B84" s="179" t="s">
        <v>152</v>
      </c>
      <c r="C84" s="43">
        <v>0</v>
      </c>
      <c r="D84" s="180">
        <v>0</v>
      </c>
      <c r="E84" s="181">
        <v>65.125</v>
      </c>
      <c r="F84" s="181">
        <v>52.1</v>
      </c>
      <c r="G84" s="181">
        <v>535</v>
      </c>
      <c r="H84" s="43">
        <v>100</v>
      </c>
    </row>
    <row r="85" spans="1:8" ht="15.75">
      <c r="A85" s="43">
        <v>3</v>
      </c>
      <c r="B85" s="179" t="s">
        <v>161</v>
      </c>
      <c r="C85" s="43">
        <v>0</v>
      </c>
      <c r="D85" s="180">
        <v>0</v>
      </c>
      <c r="E85" s="181">
        <v>1059.935</v>
      </c>
      <c r="F85" s="181">
        <f>1695.896-565.225</f>
        <v>1130.6709999999998</v>
      </c>
      <c r="G85" s="181">
        <v>18807.551</v>
      </c>
      <c r="H85" s="43">
        <v>1256</v>
      </c>
    </row>
    <row r="86" spans="1:8" ht="15.75">
      <c r="A86" s="21">
        <v>4</v>
      </c>
      <c r="B86" s="179" t="s">
        <v>169</v>
      </c>
      <c r="C86" s="43">
        <v>0</v>
      </c>
      <c r="D86" s="180">
        <v>0</v>
      </c>
      <c r="E86" s="181">
        <v>89.844</v>
      </c>
      <c r="F86" s="181">
        <v>134.766</v>
      </c>
      <c r="G86" s="181">
        <v>741.8</v>
      </c>
      <c r="H86" s="43">
        <v>100</v>
      </c>
    </row>
    <row r="87" spans="1:8" ht="15.75">
      <c r="A87" s="43">
        <v>5</v>
      </c>
      <c r="B87" s="179" t="s">
        <v>165</v>
      </c>
      <c r="C87" s="43">
        <v>0</v>
      </c>
      <c r="D87" s="180">
        <v>0</v>
      </c>
      <c r="E87" s="181">
        <v>288.96</v>
      </c>
      <c r="F87" s="181">
        <v>72.24</v>
      </c>
      <c r="G87" s="181">
        <v>2275.567</v>
      </c>
      <c r="H87" s="43">
        <v>105</v>
      </c>
    </row>
    <row r="88" spans="1:8" ht="15.75">
      <c r="A88" s="21">
        <v>6</v>
      </c>
      <c r="B88" s="179" t="s">
        <v>156</v>
      </c>
      <c r="C88" s="43">
        <v>0</v>
      </c>
      <c r="D88" s="180">
        <v>0</v>
      </c>
      <c r="E88" s="181">
        <f>185.75+412</f>
        <v>597.75</v>
      </c>
      <c r="F88" s="181">
        <v>477.2</v>
      </c>
      <c r="G88" s="181">
        <v>2522</v>
      </c>
      <c r="H88" s="43">
        <v>0</v>
      </c>
    </row>
    <row r="89" spans="1:8" ht="15.75">
      <c r="A89" s="43">
        <v>7</v>
      </c>
      <c r="B89" s="179" t="s">
        <v>211</v>
      </c>
      <c r="C89" s="43">
        <v>0</v>
      </c>
      <c r="D89" s="180">
        <v>0</v>
      </c>
      <c r="E89" s="181">
        <v>770.561</v>
      </c>
      <c r="F89" s="181">
        <v>462.336</v>
      </c>
      <c r="G89" s="181">
        <v>7504.762</v>
      </c>
      <c r="H89" s="43">
        <v>300</v>
      </c>
    </row>
    <row r="90" spans="1:8" ht="15.75">
      <c r="A90" s="21">
        <v>8</v>
      </c>
      <c r="B90" s="179" t="s">
        <v>147</v>
      </c>
      <c r="C90" s="43">
        <v>0</v>
      </c>
      <c r="D90" s="180">
        <v>0</v>
      </c>
      <c r="E90" s="181">
        <v>2905.25</v>
      </c>
      <c r="F90" s="181">
        <v>2324.2</v>
      </c>
      <c r="G90" s="181">
        <v>23242</v>
      </c>
      <c r="H90" s="43">
        <v>0</v>
      </c>
    </row>
    <row r="91" spans="1:8" ht="15.75">
      <c r="A91" s="43">
        <v>9</v>
      </c>
      <c r="B91" s="179" t="s">
        <v>216</v>
      </c>
      <c r="C91" s="43">
        <v>0</v>
      </c>
      <c r="D91" s="180">
        <v>0</v>
      </c>
      <c r="E91" s="181">
        <v>309.122</v>
      </c>
      <c r="F91" s="181">
        <v>154.561</v>
      </c>
      <c r="G91" s="181">
        <v>2472.978</v>
      </c>
      <c r="H91" s="43">
        <v>0</v>
      </c>
    </row>
    <row r="92" spans="1:8" ht="15.75">
      <c r="A92" s="21">
        <v>10</v>
      </c>
      <c r="B92" s="179" t="s">
        <v>160</v>
      </c>
      <c r="C92" s="43">
        <v>0</v>
      </c>
      <c r="D92" s="180">
        <v>0</v>
      </c>
      <c r="E92" s="181">
        <v>48.25</v>
      </c>
      <c r="F92" s="181">
        <f>+E92*0.5</f>
        <v>24.125</v>
      </c>
      <c r="G92" s="181">
        <v>386</v>
      </c>
      <c r="H92" s="43">
        <v>80</v>
      </c>
    </row>
    <row r="93" spans="1:8" ht="15.75">
      <c r="A93" s="43">
        <v>11</v>
      </c>
      <c r="B93" s="179" t="s">
        <v>173</v>
      </c>
      <c r="C93" s="43">
        <v>0</v>
      </c>
      <c r="D93" s="180">
        <v>0</v>
      </c>
      <c r="E93" s="181">
        <v>14352.875</v>
      </c>
      <c r="F93" s="181">
        <v>7176.437</v>
      </c>
      <c r="G93" s="181">
        <v>114823</v>
      </c>
      <c r="H93" s="43">
        <v>840</v>
      </c>
    </row>
    <row r="94" spans="1:8" ht="15.75">
      <c r="A94" s="21">
        <v>12</v>
      </c>
      <c r="B94" s="179" t="s">
        <v>153</v>
      </c>
      <c r="C94" s="43">
        <v>0</v>
      </c>
      <c r="D94" s="180">
        <v>0</v>
      </c>
      <c r="E94" s="181">
        <v>55.255</v>
      </c>
      <c r="F94" s="181">
        <v>22.102</v>
      </c>
      <c r="G94" s="181">
        <v>582.1</v>
      </c>
      <c r="H94" s="43">
        <v>175</v>
      </c>
    </row>
    <row r="95" spans="1:8" ht="15.75">
      <c r="A95" s="43">
        <v>13</v>
      </c>
      <c r="B95" s="179" t="s">
        <v>148</v>
      </c>
      <c r="C95" s="43">
        <v>0</v>
      </c>
      <c r="D95" s="180">
        <v>0</v>
      </c>
      <c r="E95" s="181">
        <v>4362.045</v>
      </c>
      <c r="F95" s="181">
        <v>2181.022</v>
      </c>
      <c r="G95" s="181">
        <v>17332.141</v>
      </c>
      <c r="H95" s="43">
        <v>3120</v>
      </c>
    </row>
    <row r="96" spans="1:8" ht="15.75">
      <c r="A96" s="21">
        <v>14</v>
      </c>
      <c r="B96" s="179" t="s">
        <v>145</v>
      </c>
      <c r="C96" s="43">
        <v>0</v>
      </c>
      <c r="D96" s="180">
        <v>0</v>
      </c>
      <c r="E96" s="181">
        <v>909</v>
      </c>
      <c r="F96" s="181">
        <v>2272.5</v>
      </c>
      <c r="G96" s="181">
        <v>5011.624</v>
      </c>
      <c r="H96" s="43">
        <v>250</v>
      </c>
    </row>
    <row r="97" spans="1:8" s="89" customFormat="1" ht="15.75">
      <c r="A97" s="43">
        <v>15</v>
      </c>
      <c r="B97" s="179" t="s">
        <v>171</v>
      </c>
      <c r="C97" s="43">
        <v>0</v>
      </c>
      <c r="D97" s="180">
        <v>0</v>
      </c>
      <c r="E97" s="181">
        <v>126.412</v>
      </c>
      <c r="F97" s="181">
        <v>126.412</v>
      </c>
      <c r="G97" s="181">
        <v>1011</v>
      </c>
      <c r="H97" s="43">
        <v>0</v>
      </c>
    </row>
    <row r="98" spans="1:8" s="89" customFormat="1" ht="15.75">
      <c r="A98" s="21">
        <v>16</v>
      </c>
      <c r="B98" s="179" t="s">
        <v>149</v>
      </c>
      <c r="C98" s="43">
        <v>0</v>
      </c>
      <c r="D98" s="180">
        <v>0</v>
      </c>
      <c r="E98" s="181">
        <v>2925.182</v>
      </c>
      <c r="F98" s="181">
        <v>2925.182</v>
      </c>
      <c r="G98" s="181">
        <v>21274.049</v>
      </c>
      <c r="H98" s="43">
        <v>1026</v>
      </c>
    </row>
    <row r="99" spans="1:8" s="89" customFormat="1" ht="15.75">
      <c r="A99" s="43">
        <v>17</v>
      </c>
      <c r="B99" s="179" t="s">
        <v>219</v>
      </c>
      <c r="C99" s="43">
        <v>0</v>
      </c>
      <c r="D99" s="180">
        <v>0</v>
      </c>
      <c r="E99" s="181">
        <f>119.4+290.809+56+613.29</f>
        <v>1079.499</v>
      </c>
      <c r="F99" s="181">
        <v>1079.499</v>
      </c>
      <c r="G99" s="181">
        <f>9981.552</f>
        <v>9981.552</v>
      </c>
      <c r="H99" s="43">
        <v>380</v>
      </c>
    </row>
    <row r="100" spans="1:8" s="89" customFormat="1" ht="15.75">
      <c r="A100" s="21">
        <v>18</v>
      </c>
      <c r="B100" s="179" t="s">
        <v>155</v>
      </c>
      <c r="C100" s="43">
        <v>19</v>
      </c>
      <c r="D100" s="180">
        <v>56.15</v>
      </c>
      <c r="E100" s="181">
        <v>1358.25</v>
      </c>
      <c r="F100" s="181">
        <v>679.125</v>
      </c>
      <c r="G100" s="181">
        <v>23314.666</v>
      </c>
      <c r="H100" s="43">
        <v>450</v>
      </c>
    </row>
    <row r="101" spans="1:8" s="89" customFormat="1" ht="15.75">
      <c r="A101" s="43">
        <v>19</v>
      </c>
      <c r="B101" s="179" t="s">
        <v>217</v>
      </c>
      <c r="C101" s="43">
        <v>0</v>
      </c>
      <c r="D101" s="180">
        <v>0</v>
      </c>
      <c r="E101" s="181">
        <v>45</v>
      </c>
      <c r="F101" s="181">
        <v>22.5</v>
      </c>
      <c r="G101" s="181">
        <v>360</v>
      </c>
      <c r="H101" s="43">
        <v>0</v>
      </c>
    </row>
    <row r="102" spans="1:8" s="89" customFormat="1" ht="15.75">
      <c r="A102" s="21">
        <v>20</v>
      </c>
      <c r="B102" s="179" t="s">
        <v>164</v>
      </c>
      <c r="C102" s="43">
        <v>0</v>
      </c>
      <c r="D102" s="180">
        <v>0</v>
      </c>
      <c r="E102" s="181">
        <v>618.705</v>
      </c>
      <c r="F102" s="181">
        <v>278.417</v>
      </c>
      <c r="G102" s="181">
        <v>5633.397</v>
      </c>
      <c r="H102" s="43">
        <v>260</v>
      </c>
    </row>
    <row r="103" spans="1:8" s="89" customFormat="1" ht="15.75">
      <c r="A103" s="43">
        <v>21</v>
      </c>
      <c r="B103" s="179" t="s">
        <v>213</v>
      </c>
      <c r="C103" s="43">
        <v>0</v>
      </c>
      <c r="D103" s="180">
        <v>0</v>
      </c>
      <c r="E103" s="181">
        <v>0</v>
      </c>
      <c r="F103" s="181">
        <v>0</v>
      </c>
      <c r="G103" s="181">
        <v>56</v>
      </c>
      <c r="H103" s="43">
        <v>0</v>
      </c>
    </row>
    <row r="104" spans="1:8" s="89" customFormat="1" ht="15.75">
      <c r="A104" s="21">
        <v>22</v>
      </c>
      <c r="B104" s="179" t="s">
        <v>146</v>
      </c>
      <c r="C104" s="43">
        <v>0</v>
      </c>
      <c r="D104" s="180">
        <v>0</v>
      </c>
      <c r="E104" s="181">
        <v>1540.5</v>
      </c>
      <c r="F104" s="181">
        <v>462</v>
      </c>
      <c r="G104" s="181">
        <v>17934</v>
      </c>
      <c r="H104" s="43">
        <v>8000</v>
      </c>
    </row>
    <row r="105" spans="1:8" s="89" customFormat="1" ht="15.75">
      <c r="A105" s="43">
        <v>23</v>
      </c>
      <c r="B105" s="179" t="s">
        <v>170</v>
      </c>
      <c r="C105" s="43">
        <v>0</v>
      </c>
      <c r="D105" s="180">
        <v>0</v>
      </c>
      <c r="E105" s="181">
        <v>416.875</v>
      </c>
      <c r="F105" s="181">
        <v>291.812</v>
      </c>
      <c r="G105" s="181">
        <v>3335</v>
      </c>
      <c r="H105" s="43">
        <v>0</v>
      </c>
    </row>
    <row r="106" spans="1:8" s="89" customFormat="1" ht="15.75">
      <c r="A106" s="21">
        <v>24</v>
      </c>
      <c r="B106" s="179" t="s">
        <v>176</v>
      </c>
      <c r="C106" s="43">
        <v>0</v>
      </c>
      <c r="D106" s="180">
        <v>0</v>
      </c>
      <c r="E106" s="181">
        <v>2358.373</v>
      </c>
      <c r="F106" s="181">
        <v>1415.023</v>
      </c>
      <c r="G106" s="181">
        <v>1988.64</v>
      </c>
      <c r="H106" s="43">
        <v>0</v>
      </c>
    </row>
    <row r="107" spans="1:8" s="75" customFormat="1" ht="15.75">
      <c r="A107" s="43">
        <v>25</v>
      </c>
      <c r="B107" s="179" t="s">
        <v>167</v>
      </c>
      <c r="C107" s="43">
        <v>0</v>
      </c>
      <c r="D107" s="180">
        <v>0</v>
      </c>
      <c r="E107" s="181">
        <v>48.312</v>
      </c>
      <c r="F107" s="181">
        <v>33.818</v>
      </c>
      <c r="G107" s="181">
        <v>3815</v>
      </c>
      <c r="H107" s="43">
        <v>30</v>
      </c>
    </row>
    <row r="108" spans="1:8" ht="15.75">
      <c r="A108" s="21">
        <v>26</v>
      </c>
      <c r="B108" s="179" t="s">
        <v>177</v>
      </c>
      <c r="C108" s="43">
        <v>0</v>
      </c>
      <c r="D108" s="180">
        <v>0</v>
      </c>
      <c r="E108" s="181">
        <v>488.798</v>
      </c>
      <c r="F108" s="181">
        <v>342.158</v>
      </c>
      <c r="G108" s="181">
        <v>6524.454</v>
      </c>
      <c r="H108" s="43">
        <v>0</v>
      </c>
    </row>
    <row r="109" spans="1:8" ht="15.75">
      <c r="A109" s="43">
        <v>27</v>
      </c>
      <c r="B109" s="179" t="s">
        <v>220</v>
      </c>
      <c r="C109" s="43">
        <v>0</v>
      </c>
      <c r="D109" s="180">
        <v>0</v>
      </c>
      <c r="E109" s="181">
        <v>73.625</v>
      </c>
      <c r="F109" s="181">
        <v>18.4</v>
      </c>
      <c r="G109" s="181">
        <v>614.151</v>
      </c>
      <c r="H109" s="43">
        <v>150</v>
      </c>
    </row>
    <row r="110" spans="1:8" ht="15.75">
      <c r="A110" s="21">
        <v>28</v>
      </c>
      <c r="B110" s="179" t="s">
        <v>150</v>
      </c>
      <c r="C110" s="43">
        <v>0</v>
      </c>
      <c r="D110" s="180">
        <v>0</v>
      </c>
      <c r="E110" s="181">
        <v>125.75</v>
      </c>
      <c r="F110" s="181">
        <v>88.025</v>
      </c>
      <c r="G110" s="181">
        <v>1747.495</v>
      </c>
      <c r="H110" s="43">
        <v>60</v>
      </c>
    </row>
    <row r="111" spans="1:8" ht="15.75">
      <c r="A111" s="43">
        <v>29</v>
      </c>
      <c r="B111" s="179" t="s">
        <v>178</v>
      </c>
      <c r="C111" s="43">
        <v>0</v>
      </c>
      <c r="D111" s="180">
        <v>0</v>
      </c>
      <c r="E111" s="181">
        <v>325</v>
      </c>
      <c r="F111" s="181">
        <v>162.5</v>
      </c>
      <c r="G111" s="181">
        <v>3106</v>
      </c>
      <c r="H111" s="43">
        <v>75</v>
      </c>
    </row>
    <row r="112" spans="1:8" ht="15.75">
      <c r="A112" s="21">
        <v>30</v>
      </c>
      <c r="B112" s="179" t="s">
        <v>142</v>
      </c>
      <c r="C112" s="43">
        <v>0</v>
      </c>
      <c r="D112" s="180">
        <v>0</v>
      </c>
      <c r="E112" s="181">
        <v>5630.981</v>
      </c>
      <c r="F112" s="181">
        <v>4504.785</v>
      </c>
      <c r="G112" s="181">
        <v>45047.849</v>
      </c>
      <c r="H112" s="43">
        <v>0</v>
      </c>
    </row>
    <row r="113" spans="1:8" ht="15.75">
      <c r="A113" s="43">
        <v>31</v>
      </c>
      <c r="B113" s="179" t="s">
        <v>159</v>
      </c>
      <c r="C113" s="43">
        <v>0</v>
      </c>
      <c r="D113" s="180">
        <v>0</v>
      </c>
      <c r="E113" s="181">
        <v>102.388</v>
      </c>
      <c r="F113" s="181">
        <v>51.19</v>
      </c>
      <c r="G113" s="181">
        <v>2792.375</v>
      </c>
      <c r="H113" s="43">
        <v>100</v>
      </c>
    </row>
    <row r="114" spans="1:8" ht="15.75">
      <c r="A114" s="21">
        <v>32</v>
      </c>
      <c r="B114" s="179" t="s">
        <v>214</v>
      </c>
      <c r="C114" s="43">
        <v>0</v>
      </c>
      <c r="D114" s="180">
        <v>0</v>
      </c>
      <c r="E114" s="181">
        <v>196.201</v>
      </c>
      <c r="F114" s="181">
        <v>107.911</v>
      </c>
      <c r="G114" s="181">
        <v>1569.608</v>
      </c>
      <c r="H114" s="43">
        <v>0</v>
      </c>
    </row>
    <row r="115" spans="1:8" ht="15.75">
      <c r="A115" s="43">
        <v>33</v>
      </c>
      <c r="B115" s="179" t="s">
        <v>151</v>
      </c>
      <c r="C115" s="43">
        <v>0</v>
      </c>
      <c r="D115" s="180">
        <v>0</v>
      </c>
      <c r="E115" s="181">
        <v>1549.25</v>
      </c>
      <c r="F115" s="181">
        <v>2168.95</v>
      </c>
      <c r="G115" s="181">
        <v>13299</v>
      </c>
      <c r="H115" s="43">
        <v>400</v>
      </c>
    </row>
    <row r="116" spans="1:8" ht="15.75">
      <c r="A116" s="21"/>
      <c r="B116" s="182" t="s">
        <v>143</v>
      </c>
      <c r="C116" s="74">
        <f aca="true" t="shared" si="6" ref="C116:H116">SUM(C83:C115)</f>
        <v>19</v>
      </c>
      <c r="D116" s="74">
        <f t="shared" si="6"/>
        <v>56.15</v>
      </c>
      <c r="E116" s="74">
        <f t="shared" si="6"/>
        <v>44851.931000000004</v>
      </c>
      <c r="F116" s="74">
        <f t="shared" si="6"/>
        <v>31256.396000000004</v>
      </c>
      <c r="G116" s="74">
        <f t="shared" si="6"/>
        <v>359875.4870000001</v>
      </c>
      <c r="H116" s="74">
        <f t="shared" si="6"/>
        <v>18232</v>
      </c>
    </row>
    <row r="117" spans="1:8" ht="15.75">
      <c r="A117" s="75"/>
      <c r="B117" s="184"/>
      <c r="C117" s="76"/>
      <c r="D117" s="76"/>
      <c r="E117" s="76"/>
      <c r="F117" s="76"/>
      <c r="G117" s="76"/>
      <c r="H117" s="76"/>
    </row>
    <row r="118" spans="1:8" ht="22.5">
      <c r="A118" s="75"/>
      <c r="B118" s="184"/>
      <c r="C118" s="89"/>
      <c r="D118" s="131" t="s">
        <v>190</v>
      </c>
      <c r="E118" s="187"/>
      <c r="F118" s="187"/>
      <c r="G118" s="187"/>
      <c r="H118" s="89"/>
    </row>
    <row r="119" spans="1:8" ht="31.5">
      <c r="A119" s="36" t="s">
        <v>3</v>
      </c>
      <c r="B119" s="38" t="s">
        <v>62</v>
      </c>
      <c r="C119" s="38" t="s">
        <v>5</v>
      </c>
      <c r="D119" s="39" t="s">
        <v>6</v>
      </c>
      <c r="E119" s="40" t="s">
        <v>7</v>
      </c>
      <c r="F119" s="41" t="s">
        <v>8</v>
      </c>
      <c r="G119" s="41" t="s">
        <v>9</v>
      </c>
      <c r="H119" s="38" t="s">
        <v>63</v>
      </c>
    </row>
    <row r="120" spans="1:8" ht="15.75">
      <c r="A120" s="21"/>
      <c r="B120" s="178"/>
      <c r="C120" s="54"/>
      <c r="D120" s="45" t="s">
        <v>11</v>
      </c>
      <c r="E120" s="46" t="s">
        <v>64</v>
      </c>
      <c r="F120" s="46" t="s">
        <v>65</v>
      </c>
      <c r="G120" s="46" t="s">
        <v>66</v>
      </c>
      <c r="H120" s="157" t="s">
        <v>15</v>
      </c>
    </row>
    <row r="121" spans="1:8" ht="15.75">
      <c r="A121" s="43">
        <v>1</v>
      </c>
      <c r="B121" s="179" t="s">
        <v>152</v>
      </c>
      <c r="C121" s="43">
        <v>8</v>
      </c>
      <c r="D121" s="180">
        <v>8</v>
      </c>
      <c r="E121" s="181">
        <v>10.355</v>
      </c>
      <c r="F121" s="181">
        <v>5.177</v>
      </c>
      <c r="G121" s="181">
        <v>973</v>
      </c>
      <c r="H121" s="43">
        <v>50</v>
      </c>
    </row>
    <row r="122" spans="1:8" ht="15.75">
      <c r="A122" s="21">
        <v>2</v>
      </c>
      <c r="B122" s="179" t="s">
        <v>165</v>
      </c>
      <c r="C122" s="43">
        <v>34</v>
      </c>
      <c r="D122" s="180">
        <v>7779.63</v>
      </c>
      <c r="E122" s="181">
        <v>1805.446</v>
      </c>
      <c r="F122" s="181">
        <v>2959.334</v>
      </c>
      <c r="G122" s="181">
        <v>74880.222</v>
      </c>
      <c r="H122" s="43">
        <v>570</v>
      </c>
    </row>
    <row r="123" spans="1:8" ht="15.75">
      <c r="A123" s="43">
        <v>3</v>
      </c>
      <c r="B123" s="179" t="s">
        <v>211</v>
      </c>
      <c r="C123" s="43">
        <v>2</v>
      </c>
      <c r="D123" s="180">
        <v>2</v>
      </c>
      <c r="E123" s="181">
        <v>1.65</v>
      </c>
      <c r="F123" s="181">
        <v>7.425</v>
      </c>
      <c r="G123" s="181">
        <v>74.675</v>
      </c>
      <c r="H123" s="43">
        <v>32</v>
      </c>
    </row>
    <row r="124" spans="1:8" ht="15.75">
      <c r="A124" s="21">
        <v>4</v>
      </c>
      <c r="B124" s="179" t="s">
        <v>147</v>
      </c>
      <c r="C124" s="43">
        <v>6</v>
      </c>
      <c r="D124" s="180">
        <v>417.38</v>
      </c>
      <c r="E124" s="181">
        <v>55.353</v>
      </c>
      <c r="F124" s="181">
        <v>66.423</v>
      </c>
      <c r="G124" s="181">
        <v>8731</v>
      </c>
      <c r="H124" s="43">
        <v>149</v>
      </c>
    </row>
    <row r="125" spans="1:8" ht="15.75">
      <c r="A125" s="43">
        <v>5</v>
      </c>
      <c r="B125" s="179" t="s">
        <v>216</v>
      </c>
      <c r="C125" s="43">
        <v>4</v>
      </c>
      <c r="D125" s="180">
        <v>124.08</v>
      </c>
      <c r="E125" s="181">
        <v>29.557</v>
      </c>
      <c r="F125" s="181">
        <v>2.07</v>
      </c>
      <c r="G125" s="181">
        <v>843.931</v>
      </c>
      <c r="H125" s="43">
        <v>25</v>
      </c>
    </row>
    <row r="126" spans="1:8" ht="15.75">
      <c r="A126" s="21">
        <v>6</v>
      </c>
      <c r="B126" s="179" t="s">
        <v>160</v>
      </c>
      <c r="C126" s="43">
        <v>9</v>
      </c>
      <c r="D126" s="180">
        <v>10.271</v>
      </c>
      <c r="E126" s="181">
        <v>12.17</v>
      </c>
      <c r="F126" s="181">
        <v>15.21</v>
      </c>
      <c r="G126" s="181">
        <v>636</v>
      </c>
      <c r="H126" s="43">
        <v>50</v>
      </c>
    </row>
    <row r="127" spans="1:8" ht="15.75">
      <c r="A127" s="43">
        <v>7</v>
      </c>
      <c r="B127" s="179" t="s">
        <v>173</v>
      </c>
      <c r="C127" s="43">
        <v>1</v>
      </c>
      <c r="D127" s="180">
        <v>1</v>
      </c>
      <c r="E127" s="181">
        <v>0.625</v>
      </c>
      <c r="F127" s="181">
        <v>0.937</v>
      </c>
      <c r="G127" s="181">
        <v>25</v>
      </c>
      <c r="H127" s="43">
        <v>7</v>
      </c>
    </row>
    <row r="128" spans="1:8" ht="15.75">
      <c r="A128" s="21">
        <v>8</v>
      </c>
      <c r="B128" s="179" t="s">
        <v>148</v>
      </c>
      <c r="C128" s="43">
        <v>1</v>
      </c>
      <c r="D128" s="180">
        <v>1.5</v>
      </c>
      <c r="E128" s="181">
        <v>0</v>
      </c>
      <c r="F128" s="181">
        <v>0</v>
      </c>
      <c r="G128" s="181">
        <v>125.943</v>
      </c>
      <c r="H128" s="43">
        <v>0</v>
      </c>
    </row>
    <row r="129" spans="1:8" ht="15.75">
      <c r="A129" s="43">
        <v>9</v>
      </c>
      <c r="B129" s="179" t="s">
        <v>145</v>
      </c>
      <c r="C129" s="43">
        <v>2</v>
      </c>
      <c r="D129" s="180">
        <v>8.98</v>
      </c>
      <c r="E129" s="181">
        <v>4.2</v>
      </c>
      <c r="F129" s="181">
        <v>21</v>
      </c>
      <c r="G129" s="181">
        <v>436.41</v>
      </c>
      <c r="H129" s="43">
        <v>4</v>
      </c>
    </row>
    <row r="130" spans="1:8" ht="15.75">
      <c r="A130" s="21">
        <v>10</v>
      </c>
      <c r="B130" s="179" t="s">
        <v>149</v>
      </c>
      <c r="C130" s="43">
        <v>5</v>
      </c>
      <c r="D130" s="180">
        <v>4.06</v>
      </c>
      <c r="E130" s="181">
        <v>2.898</v>
      </c>
      <c r="F130" s="181">
        <v>2.898</v>
      </c>
      <c r="G130" s="181">
        <v>382.134</v>
      </c>
      <c r="H130" s="43">
        <v>16</v>
      </c>
    </row>
    <row r="131" spans="1:8" ht="15.75">
      <c r="A131" s="43">
        <v>11</v>
      </c>
      <c r="B131" s="179" t="s">
        <v>155</v>
      </c>
      <c r="C131" s="43">
        <v>4</v>
      </c>
      <c r="D131" s="180">
        <v>18.84</v>
      </c>
      <c r="E131" s="181">
        <v>11</v>
      </c>
      <c r="F131" s="181">
        <v>8.25</v>
      </c>
      <c r="G131" s="181">
        <v>498.863</v>
      </c>
      <c r="H131" s="43">
        <v>16</v>
      </c>
    </row>
    <row r="132" spans="1:8" ht="15.75">
      <c r="A132" s="21">
        <v>12</v>
      </c>
      <c r="B132" s="179" t="s">
        <v>217</v>
      </c>
      <c r="C132" s="43">
        <v>27</v>
      </c>
      <c r="D132" s="180">
        <v>34.62</v>
      </c>
      <c r="E132" s="181">
        <v>276.66</v>
      </c>
      <c r="F132" s="181">
        <v>229.628</v>
      </c>
      <c r="G132" s="181">
        <v>12515.321</v>
      </c>
      <c r="H132" s="43">
        <v>270</v>
      </c>
    </row>
    <row r="133" spans="1:8" ht="15.75">
      <c r="A133" s="43">
        <v>13</v>
      </c>
      <c r="B133" s="179" t="s">
        <v>164</v>
      </c>
      <c r="C133" s="43">
        <v>4</v>
      </c>
      <c r="D133" s="180">
        <v>4.27</v>
      </c>
      <c r="E133" s="181">
        <v>58.134</v>
      </c>
      <c r="F133" s="181">
        <v>105.827</v>
      </c>
      <c r="G133" s="181">
        <v>2675.701</v>
      </c>
      <c r="H133" s="43">
        <v>20</v>
      </c>
    </row>
    <row r="134" spans="1:8" ht="15.75">
      <c r="A134" s="21">
        <v>14</v>
      </c>
      <c r="B134" s="179" t="s">
        <v>146</v>
      </c>
      <c r="C134" s="43">
        <v>8</v>
      </c>
      <c r="D134" s="180">
        <v>20.4</v>
      </c>
      <c r="E134" s="181">
        <v>0</v>
      </c>
      <c r="F134" s="181">
        <v>0</v>
      </c>
      <c r="G134" s="181">
        <v>153</v>
      </c>
      <c r="H134" s="43">
        <v>3</v>
      </c>
    </row>
    <row r="135" spans="1:8" ht="15.75">
      <c r="A135" s="43">
        <v>15</v>
      </c>
      <c r="B135" s="179" t="s">
        <v>176</v>
      </c>
      <c r="C135" s="43">
        <v>78</v>
      </c>
      <c r="D135" s="180">
        <v>1282.83</v>
      </c>
      <c r="E135" s="181">
        <v>551.179</v>
      </c>
      <c r="F135" s="181">
        <v>551.179</v>
      </c>
      <c r="G135" s="181">
        <v>32577.407</v>
      </c>
      <c r="H135" s="43">
        <v>546</v>
      </c>
    </row>
    <row r="136" spans="1:8" ht="15.75">
      <c r="A136" s="21">
        <v>16</v>
      </c>
      <c r="B136" s="179" t="s">
        <v>177</v>
      </c>
      <c r="C136" s="43">
        <v>7</v>
      </c>
      <c r="D136" s="180">
        <v>11.83</v>
      </c>
      <c r="E136" s="181">
        <v>37.373</v>
      </c>
      <c r="F136" s="181">
        <v>37.37</v>
      </c>
      <c r="G136" s="181">
        <v>1803.661</v>
      </c>
      <c r="H136" s="43">
        <v>39</v>
      </c>
    </row>
    <row r="137" spans="1:8" ht="15.75">
      <c r="A137" s="43">
        <v>17</v>
      </c>
      <c r="B137" s="179" t="s">
        <v>221</v>
      </c>
      <c r="C137" s="43">
        <v>70</v>
      </c>
      <c r="D137" s="180">
        <v>970.91</v>
      </c>
      <c r="E137" s="181">
        <v>321.875</v>
      </c>
      <c r="F137" s="181">
        <v>435.531</v>
      </c>
      <c r="G137" s="181">
        <v>48340</v>
      </c>
      <c r="H137" s="43">
        <v>700</v>
      </c>
    </row>
    <row r="138" spans="1:8" s="20" customFormat="1" ht="15.75">
      <c r="A138" s="21">
        <v>18</v>
      </c>
      <c r="B138" s="179" t="s">
        <v>142</v>
      </c>
      <c r="C138" s="43">
        <v>5</v>
      </c>
      <c r="D138" s="180">
        <v>662</v>
      </c>
      <c r="E138" s="181">
        <v>115.087</v>
      </c>
      <c r="F138" s="181">
        <v>115.087</v>
      </c>
      <c r="G138" s="181">
        <v>6706.293</v>
      </c>
      <c r="H138" s="43">
        <v>50</v>
      </c>
    </row>
    <row r="139" spans="1:8" s="20" customFormat="1" ht="15.75">
      <c r="A139" s="43">
        <v>19</v>
      </c>
      <c r="B139" s="179" t="s">
        <v>159</v>
      </c>
      <c r="C139" s="43">
        <v>36</v>
      </c>
      <c r="D139" s="180">
        <v>37.25</v>
      </c>
      <c r="E139" s="181">
        <v>349.803</v>
      </c>
      <c r="F139" s="181">
        <v>180.49</v>
      </c>
      <c r="G139" s="181">
        <v>3212</v>
      </c>
      <c r="H139" s="43">
        <v>415</v>
      </c>
    </row>
    <row r="140" spans="1:8" s="20" customFormat="1" ht="15.75">
      <c r="A140" s="21">
        <v>20</v>
      </c>
      <c r="B140" s="179" t="s">
        <v>214</v>
      </c>
      <c r="C140" s="43">
        <v>31</v>
      </c>
      <c r="D140" s="180">
        <v>2450.27</v>
      </c>
      <c r="E140" s="181">
        <v>314.157</v>
      </c>
      <c r="F140" s="181">
        <v>270.175</v>
      </c>
      <c r="G140" s="181">
        <v>14142.949</v>
      </c>
      <c r="H140" s="43">
        <v>186</v>
      </c>
    </row>
    <row r="141" spans="1:8" s="20" customFormat="1" ht="15.75">
      <c r="A141" s="43">
        <v>21</v>
      </c>
      <c r="B141" s="179" t="s">
        <v>151</v>
      </c>
      <c r="C141" s="43">
        <v>8</v>
      </c>
      <c r="D141" s="180">
        <v>9.31</v>
      </c>
      <c r="E141" s="181">
        <v>44.822</v>
      </c>
      <c r="F141" s="181">
        <v>89.644</v>
      </c>
      <c r="G141" s="181">
        <v>2798</v>
      </c>
      <c r="H141" s="43">
        <v>179</v>
      </c>
    </row>
    <row r="142" spans="1:8" s="20" customFormat="1" ht="15.75">
      <c r="A142" s="21"/>
      <c r="B142" s="182" t="s">
        <v>143</v>
      </c>
      <c r="C142" s="74">
        <f aca="true" t="shared" si="7" ref="C142:H142">SUM(C121:C141)</f>
        <v>350</v>
      </c>
      <c r="D142" s="74">
        <f t="shared" si="7"/>
        <v>13859.431</v>
      </c>
      <c r="E142" s="74">
        <f t="shared" si="7"/>
        <v>4002.3440000000005</v>
      </c>
      <c r="F142" s="74">
        <f t="shared" si="7"/>
        <v>5103.655000000002</v>
      </c>
      <c r="G142" s="74">
        <f t="shared" si="7"/>
        <v>212531.50999999998</v>
      </c>
      <c r="H142" s="74">
        <f t="shared" si="7"/>
        <v>3327</v>
      </c>
    </row>
    <row r="143" spans="1:8" s="20" customFormat="1" ht="15.75">
      <c r="A143" s="75"/>
      <c r="B143" s="184"/>
      <c r="C143" s="76"/>
      <c r="D143" s="76"/>
      <c r="E143" s="76"/>
      <c r="F143" s="76"/>
      <c r="G143" s="76"/>
      <c r="H143" s="76"/>
    </row>
    <row r="144" spans="1:8" s="20" customFormat="1" ht="22.5">
      <c r="A144" s="75"/>
      <c r="B144" s="184"/>
      <c r="C144" s="89"/>
      <c r="D144" s="131" t="s">
        <v>191</v>
      </c>
      <c r="E144" s="187"/>
      <c r="F144" s="187"/>
      <c r="G144" s="187"/>
      <c r="H144" s="89"/>
    </row>
    <row r="145" spans="1:8" s="20" customFormat="1" ht="31.5">
      <c r="A145" s="36" t="s">
        <v>3</v>
      </c>
      <c r="B145" s="38" t="s">
        <v>62</v>
      </c>
      <c r="C145" s="38" t="s">
        <v>5</v>
      </c>
      <c r="D145" s="39" t="s">
        <v>6</v>
      </c>
      <c r="E145" s="40" t="s">
        <v>7</v>
      </c>
      <c r="F145" s="41" t="s">
        <v>8</v>
      </c>
      <c r="G145" s="41" t="s">
        <v>9</v>
      </c>
      <c r="H145" s="38" t="s">
        <v>63</v>
      </c>
    </row>
    <row r="146" spans="1:8" s="20" customFormat="1" ht="15.75">
      <c r="A146" s="21"/>
      <c r="B146" s="178"/>
      <c r="C146" s="54"/>
      <c r="D146" s="45" t="s">
        <v>11</v>
      </c>
      <c r="E146" s="46" t="s">
        <v>64</v>
      </c>
      <c r="F146" s="46" t="s">
        <v>65</v>
      </c>
      <c r="G146" s="46" t="s">
        <v>66</v>
      </c>
      <c r="H146" s="157" t="s">
        <v>15</v>
      </c>
    </row>
    <row r="147" spans="1:8" s="20" customFormat="1" ht="15.75">
      <c r="A147" s="43">
        <v>1</v>
      </c>
      <c r="B147" s="179" t="s">
        <v>156</v>
      </c>
      <c r="C147" s="43">
        <v>294</v>
      </c>
      <c r="D147" s="180">
        <v>295.06</v>
      </c>
      <c r="E147" s="181">
        <v>170.533</v>
      </c>
      <c r="F147" s="181">
        <v>511.6</v>
      </c>
      <c r="G147" s="181">
        <v>12289.886</v>
      </c>
      <c r="H147" s="43">
        <v>1470</v>
      </c>
    </row>
    <row r="148" spans="1:8" s="20" customFormat="1" ht="15.75">
      <c r="A148" s="21">
        <v>2</v>
      </c>
      <c r="B148" s="179" t="s">
        <v>211</v>
      </c>
      <c r="C148" s="43">
        <v>33</v>
      </c>
      <c r="D148" s="180">
        <v>170.89</v>
      </c>
      <c r="E148" s="181">
        <v>533.042</v>
      </c>
      <c r="F148" s="181">
        <v>3464.773</v>
      </c>
      <c r="G148" s="181">
        <v>6103.488</v>
      </c>
      <c r="H148" s="43">
        <v>364</v>
      </c>
    </row>
    <row r="149" spans="1:8" ht="15.75">
      <c r="A149" s="21">
        <v>3</v>
      </c>
      <c r="B149" s="179" t="s">
        <v>216</v>
      </c>
      <c r="C149" s="43">
        <v>0</v>
      </c>
      <c r="D149" s="180">
        <v>0</v>
      </c>
      <c r="E149" s="181">
        <f>334.866+538.177</f>
        <v>873.043</v>
      </c>
      <c r="F149" s="181">
        <f>133.946+96.872</f>
        <v>230.81799999999998</v>
      </c>
      <c r="G149" s="181">
        <f>14351.426+99</f>
        <v>14450.426</v>
      </c>
      <c r="H149" s="43">
        <v>300</v>
      </c>
    </row>
    <row r="150" spans="1:8" ht="15.75">
      <c r="A150" s="21">
        <v>4</v>
      </c>
      <c r="B150" s="179" t="s">
        <v>164</v>
      </c>
      <c r="C150" s="43">
        <v>0</v>
      </c>
      <c r="D150" s="180">
        <v>0</v>
      </c>
      <c r="E150" s="181">
        <v>68.628</v>
      </c>
      <c r="F150" s="181">
        <v>343.138</v>
      </c>
      <c r="G150" s="181">
        <v>8749.759</v>
      </c>
      <c r="H150" s="43">
        <v>500</v>
      </c>
    </row>
    <row r="151" spans="1:8" ht="15.75">
      <c r="A151" s="21">
        <v>5</v>
      </c>
      <c r="B151" s="179" t="s">
        <v>177</v>
      </c>
      <c r="C151" s="43">
        <v>1</v>
      </c>
      <c r="D151" s="180">
        <v>1</v>
      </c>
      <c r="E151" s="181">
        <v>1.17</v>
      </c>
      <c r="F151" s="181">
        <f>+E151*5</f>
        <v>5.85</v>
      </c>
      <c r="G151" s="181">
        <v>208.151</v>
      </c>
      <c r="H151" s="43">
        <v>0</v>
      </c>
    </row>
    <row r="152" spans="1:8" ht="15.75">
      <c r="A152" s="21">
        <v>6</v>
      </c>
      <c r="B152" s="179" t="s">
        <v>178</v>
      </c>
      <c r="C152" s="43">
        <v>47</v>
      </c>
      <c r="D152" s="180">
        <v>1921.71</v>
      </c>
      <c r="E152" s="181">
        <v>2660.435</v>
      </c>
      <c r="F152" s="181">
        <v>18623.048</v>
      </c>
      <c r="G152" s="181">
        <v>221726</v>
      </c>
      <c r="H152" s="43">
        <v>4364</v>
      </c>
    </row>
    <row r="153" spans="1:8" ht="15.75">
      <c r="A153" s="21"/>
      <c r="B153" s="182" t="s">
        <v>143</v>
      </c>
      <c r="C153" s="74">
        <f aca="true" t="shared" si="8" ref="C153:H153">SUM(C147:C152)</f>
        <v>375</v>
      </c>
      <c r="D153" s="74">
        <f t="shared" si="8"/>
        <v>2388.66</v>
      </c>
      <c r="E153" s="74">
        <f t="shared" si="8"/>
        <v>4306.851</v>
      </c>
      <c r="F153" s="74">
        <f t="shared" si="8"/>
        <v>23179.227</v>
      </c>
      <c r="G153" s="74">
        <f t="shared" si="8"/>
        <v>263527.71</v>
      </c>
      <c r="H153" s="74">
        <f t="shared" si="8"/>
        <v>6998</v>
      </c>
    </row>
    <row r="154" spans="1:8" ht="15.75">
      <c r="A154" s="75"/>
      <c r="B154" s="184"/>
      <c r="C154" s="76"/>
      <c r="D154" s="76"/>
      <c r="E154" s="76"/>
      <c r="F154" s="76"/>
      <c r="G154" s="76"/>
      <c r="H154" s="76"/>
    </row>
    <row r="155" spans="1:8" ht="22.5">
      <c r="A155" s="75"/>
      <c r="B155" s="184"/>
      <c r="C155" s="89"/>
      <c r="D155" s="131" t="s">
        <v>192</v>
      </c>
      <c r="E155" s="187"/>
      <c r="F155" s="187"/>
      <c r="G155" s="187"/>
      <c r="H155" s="89"/>
    </row>
    <row r="156" spans="1:8" ht="31.5">
      <c r="A156" s="36" t="s">
        <v>3</v>
      </c>
      <c r="B156" s="38" t="s">
        <v>62</v>
      </c>
      <c r="C156" s="38" t="s">
        <v>5</v>
      </c>
      <c r="D156" s="39" t="s">
        <v>6</v>
      </c>
      <c r="E156" s="40" t="s">
        <v>7</v>
      </c>
      <c r="F156" s="41" t="s">
        <v>8</v>
      </c>
      <c r="G156" s="41" t="s">
        <v>9</v>
      </c>
      <c r="H156" s="38" t="s">
        <v>63</v>
      </c>
    </row>
    <row r="157" spans="1:8" ht="15.75">
      <c r="A157" s="21"/>
      <c r="B157" s="178"/>
      <c r="C157" s="54"/>
      <c r="D157" s="45" t="s">
        <v>11</v>
      </c>
      <c r="E157" s="46" t="s">
        <v>64</v>
      </c>
      <c r="F157" s="46" t="s">
        <v>65</v>
      </c>
      <c r="G157" s="46" t="s">
        <v>66</v>
      </c>
      <c r="H157" s="157" t="s">
        <v>15</v>
      </c>
    </row>
    <row r="158" spans="1:8" s="89" customFormat="1" ht="15.75">
      <c r="A158" s="43">
        <v>1</v>
      </c>
      <c r="B158" s="179" t="s">
        <v>218</v>
      </c>
      <c r="C158" s="43">
        <v>26</v>
      </c>
      <c r="D158" s="180">
        <v>88.85</v>
      </c>
      <c r="E158" s="181">
        <v>5.326</v>
      </c>
      <c r="F158" s="181">
        <v>77.228</v>
      </c>
      <c r="G158" s="181">
        <v>3356.767</v>
      </c>
      <c r="H158" s="43">
        <v>209</v>
      </c>
    </row>
    <row r="159" spans="1:8" s="89" customFormat="1" ht="15.75">
      <c r="A159" s="21">
        <v>2</v>
      </c>
      <c r="B159" s="179" t="s">
        <v>152</v>
      </c>
      <c r="C159" s="43">
        <v>77</v>
      </c>
      <c r="D159" s="180">
        <v>73.59</v>
      </c>
      <c r="E159" s="181">
        <v>513.2</v>
      </c>
      <c r="F159" s="181">
        <v>5645.2</v>
      </c>
      <c r="G159" s="181">
        <v>70877</v>
      </c>
      <c r="H159" s="43">
        <v>1200</v>
      </c>
    </row>
    <row r="160" spans="1:8" s="89" customFormat="1" ht="15.75">
      <c r="A160" s="43">
        <v>3</v>
      </c>
      <c r="B160" s="179" t="s">
        <v>156</v>
      </c>
      <c r="C160" s="43">
        <v>100</v>
      </c>
      <c r="D160" s="180">
        <v>291.42</v>
      </c>
      <c r="E160" s="181">
        <v>94.953</v>
      </c>
      <c r="F160" s="181">
        <v>569.718</v>
      </c>
      <c r="G160" s="181">
        <v>15479</v>
      </c>
      <c r="H160" s="43">
        <v>500</v>
      </c>
    </row>
    <row r="161" spans="1:8" s="89" customFormat="1" ht="15.75">
      <c r="A161" s="21">
        <v>4</v>
      </c>
      <c r="B161" s="179" t="s">
        <v>147</v>
      </c>
      <c r="C161" s="43">
        <v>11</v>
      </c>
      <c r="D161" s="180">
        <v>10.457</v>
      </c>
      <c r="E161" s="181">
        <v>48.994</v>
      </c>
      <c r="F161" s="181">
        <v>342.95</v>
      </c>
      <c r="G161" s="181">
        <v>713</v>
      </c>
      <c r="H161" s="43">
        <v>292</v>
      </c>
    </row>
    <row r="162" spans="1:8" s="89" customFormat="1" ht="15.75">
      <c r="A162" s="43">
        <v>5</v>
      </c>
      <c r="B162" s="179" t="s">
        <v>216</v>
      </c>
      <c r="C162" s="43">
        <v>7</v>
      </c>
      <c r="D162" s="180">
        <v>32</v>
      </c>
      <c r="E162" s="181">
        <v>1.638</v>
      </c>
      <c r="F162" s="181">
        <v>7.371</v>
      </c>
      <c r="G162" s="181">
        <v>1043.278</v>
      </c>
      <c r="H162" s="43">
        <v>26</v>
      </c>
    </row>
    <row r="163" spans="1:8" s="89" customFormat="1" ht="15.75">
      <c r="A163" s="21">
        <v>6</v>
      </c>
      <c r="B163" s="179" t="s">
        <v>160</v>
      </c>
      <c r="C163" s="43">
        <v>53</v>
      </c>
      <c r="D163" s="180">
        <v>56.75</v>
      </c>
      <c r="E163" s="181">
        <v>88.171</v>
      </c>
      <c r="F163" s="181">
        <v>1013.96</v>
      </c>
      <c r="G163" s="181">
        <v>12618.776</v>
      </c>
      <c r="H163" s="43">
        <v>550</v>
      </c>
    </row>
    <row r="164" spans="1:8" s="89" customFormat="1" ht="15.75">
      <c r="A164" s="43">
        <v>7</v>
      </c>
      <c r="B164" s="179" t="s">
        <v>153</v>
      </c>
      <c r="C164" s="43">
        <v>235</v>
      </c>
      <c r="D164" s="180">
        <v>193.44</v>
      </c>
      <c r="E164" s="181">
        <v>198.525</v>
      </c>
      <c r="F164" s="181">
        <v>2580.83</v>
      </c>
      <c r="G164" s="181">
        <v>46281.735</v>
      </c>
      <c r="H164" s="43">
        <v>2350</v>
      </c>
    </row>
    <row r="165" spans="1:8" s="89" customFormat="1" ht="15.75">
      <c r="A165" s="21">
        <v>8</v>
      </c>
      <c r="B165" s="179" t="s">
        <v>148</v>
      </c>
      <c r="C165" s="43">
        <v>90</v>
      </c>
      <c r="D165" s="180">
        <v>112.35</v>
      </c>
      <c r="E165" s="181">
        <v>456.571</v>
      </c>
      <c r="F165" s="181">
        <v>4109.14</v>
      </c>
      <c r="G165" s="181">
        <v>68498.674</v>
      </c>
      <c r="H165" s="43">
        <v>1890</v>
      </c>
    </row>
    <row r="166" spans="1:8" s="89" customFormat="1" ht="15.75">
      <c r="A166" s="43">
        <v>9</v>
      </c>
      <c r="B166" s="179" t="s">
        <v>145</v>
      </c>
      <c r="C166" s="43">
        <v>103</v>
      </c>
      <c r="D166" s="180">
        <v>136.13</v>
      </c>
      <c r="E166" s="181">
        <v>1094</v>
      </c>
      <c r="F166" s="181">
        <v>4376</v>
      </c>
      <c r="G166" s="181">
        <v>75756.333</v>
      </c>
      <c r="H166" s="43">
        <v>300</v>
      </c>
    </row>
    <row r="167" spans="1:8" s="89" customFormat="1" ht="15.75">
      <c r="A167" s="21">
        <v>10</v>
      </c>
      <c r="B167" s="179" t="s">
        <v>149</v>
      </c>
      <c r="C167" s="43">
        <v>23</v>
      </c>
      <c r="D167" s="180">
        <v>37.22</v>
      </c>
      <c r="E167" s="181">
        <v>2.5</v>
      </c>
      <c r="F167" s="181">
        <v>25</v>
      </c>
      <c r="G167" s="181">
        <v>2850.48</v>
      </c>
      <c r="H167" s="43">
        <v>138</v>
      </c>
    </row>
    <row r="168" spans="1:8" s="89" customFormat="1" ht="15.75">
      <c r="A168" s="43">
        <v>11</v>
      </c>
      <c r="B168" s="179" t="s">
        <v>155</v>
      </c>
      <c r="C168" s="43">
        <v>50</v>
      </c>
      <c r="D168" s="180">
        <v>91.41</v>
      </c>
      <c r="E168" s="181">
        <v>97.936</v>
      </c>
      <c r="F168" s="181">
        <v>979.36</v>
      </c>
      <c r="G168" s="181">
        <v>14200.779</v>
      </c>
      <c r="H168" s="43">
        <v>145</v>
      </c>
    </row>
    <row r="169" spans="1:8" s="89" customFormat="1" ht="15.75">
      <c r="A169" s="21">
        <v>12</v>
      </c>
      <c r="B169" s="179" t="s">
        <v>217</v>
      </c>
      <c r="C169" s="43">
        <v>12</v>
      </c>
      <c r="D169" s="180">
        <v>31.4688</v>
      </c>
      <c r="E169" s="181">
        <v>4.67</v>
      </c>
      <c r="F169" s="181">
        <v>2.38</v>
      </c>
      <c r="G169" s="181">
        <v>1190.222</v>
      </c>
      <c r="H169" s="43">
        <v>48</v>
      </c>
    </row>
    <row r="170" spans="1:8" ht="15.75">
      <c r="A170" s="43">
        <v>13</v>
      </c>
      <c r="B170" s="179" t="s">
        <v>164</v>
      </c>
      <c r="C170" s="43">
        <v>26</v>
      </c>
      <c r="D170" s="180">
        <v>4.68</v>
      </c>
      <c r="E170" s="181">
        <f>1.975+1.362</f>
        <v>3.337</v>
      </c>
      <c r="F170" s="181">
        <f>23.7+1.362</f>
        <v>25.061999999999998</v>
      </c>
      <c r="G170" s="181">
        <f>471.183+668.109</f>
        <v>1139.292</v>
      </c>
      <c r="H170" s="43">
        <v>30</v>
      </c>
    </row>
    <row r="171" spans="1:8" ht="15.75">
      <c r="A171" s="21">
        <v>14</v>
      </c>
      <c r="B171" s="179" t="s">
        <v>146</v>
      </c>
      <c r="C171" s="43">
        <v>34</v>
      </c>
      <c r="D171" s="180">
        <v>56.51</v>
      </c>
      <c r="E171" s="181">
        <v>4.375</v>
      </c>
      <c r="F171" s="181">
        <v>10.93</v>
      </c>
      <c r="G171" s="181">
        <v>672</v>
      </c>
      <c r="H171" s="43">
        <v>15</v>
      </c>
    </row>
    <row r="172" spans="1:8" ht="15.75">
      <c r="A172" s="43">
        <v>15</v>
      </c>
      <c r="B172" s="179" t="s">
        <v>220</v>
      </c>
      <c r="C172" s="43">
        <v>0</v>
      </c>
      <c r="D172" s="180">
        <v>0</v>
      </c>
      <c r="E172" s="181">
        <v>711.476</v>
      </c>
      <c r="F172" s="181">
        <f>3557.38+1378.988</f>
        <v>4936.368</v>
      </c>
      <c r="G172" s="181">
        <v>176691</v>
      </c>
      <c r="H172" s="43">
        <v>6000</v>
      </c>
    </row>
    <row r="173" spans="1:8" ht="15.75">
      <c r="A173" s="21">
        <v>16</v>
      </c>
      <c r="B173" s="179" t="s">
        <v>172</v>
      </c>
      <c r="C173" s="43">
        <v>592</v>
      </c>
      <c r="D173" s="180">
        <v>714.113</v>
      </c>
      <c r="E173" s="181">
        <v>2759.106</v>
      </c>
      <c r="F173" s="181">
        <v>28280.837</v>
      </c>
      <c r="G173" s="181">
        <v>420453.816</v>
      </c>
      <c r="H173" s="43">
        <v>17358</v>
      </c>
    </row>
    <row r="174" spans="1:8" ht="15.75">
      <c r="A174" s="43">
        <v>17</v>
      </c>
      <c r="B174" s="179" t="s">
        <v>150</v>
      </c>
      <c r="C174" s="43">
        <v>371</v>
      </c>
      <c r="D174" s="180">
        <v>400.85</v>
      </c>
      <c r="E174" s="181">
        <v>377.325</v>
      </c>
      <c r="F174" s="181">
        <v>3584.588</v>
      </c>
      <c r="G174" s="181">
        <v>56667.243</v>
      </c>
      <c r="H174" s="43">
        <v>4452</v>
      </c>
    </row>
    <row r="175" spans="1:8" ht="15.75">
      <c r="A175" s="21">
        <v>18</v>
      </c>
      <c r="B175" s="179" t="s">
        <v>142</v>
      </c>
      <c r="C175" s="43">
        <v>31</v>
      </c>
      <c r="D175" s="180">
        <v>500.61</v>
      </c>
      <c r="E175" s="181">
        <v>28.486</v>
      </c>
      <c r="F175" s="181">
        <v>227.888</v>
      </c>
      <c r="G175" s="181">
        <v>7387.102</v>
      </c>
      <c r="H175" s="43">
        <v>150</v>
      </c>
    </row>
    <row r="176" spans="1:8" ht="15.75">
      <c r="A176" s="43">
        <v>19</v>
      </c>
      <c r="B176" s="179" t="s">
        <v>159</v>
      </c>
      <c r="C176" s="43">
        <v>85</v>
      </c>
      <c r="D176" s="180">
        <v>74.95</v>
      </c>
      <c r="E176" s="181">
        <v>188.931</v>
      </c>
      <c r="F176" s="181">
        <v>1511.45</v>
      </c>
      <c r="G176" s="181">
        <v>27395</v>
      </c>
      <c r="H176" s="43">
        <v>1600</v>
      </c>
    </row>
    <row r="177" spans="1:8" ht="15.75">
      <c r="A177" s="21">
        <v>20</v>
      </c>
      <c r="B177" s="179" t="s">
        <v>214</v>
      </c>
      <c r="C177" s="43">
        <v>8</v>
      </c>
      <c r="D177" s="180">
        <v>13</v>
      </c>
      <c r="E177" s="181">
        <v>0</v>
      </c>
      <c r="F177" s="181">
        <v>0</v>
      </c>
      <c r="G177" s="181">
        <v>216.137</v>
      </c>
      <c r="H177" s="43">
        <v>16</v>
      </c>
    </row>
    <row r="178" spans="1:8" ht="15.75">
      <c r="A178" s="43">
        <v>21</v>
      </c>
      <c r="B178" s="179" t="s">
        <v>151</v>
      </c>
      <c r="C178" s="43">
        <v>85</v>
      </c>
      <c r="D178" s="180">
        <v>79</v>
      </c>
      <c r="E178" s="181">
        <v>135.917</v>
      </c>
      <c r="F178" s="181">
        <v>1331.986</v>
      </c>
      <c r="G178" s="181">
        <v>13859</v>
      </c>
      <c r="H178" s="43">
        <v>1087</v>
      </c>
    </row>
    <row r="179" spans="1:8" ht="15.75">
      <c r="A179" s="21"/>
      <c r="B179" s="182" t="s">
        <v>143</v>
      </c>
      <c r="C179" s="65">
        <f aca="true" t="shared" si="9" ref="C179:H179">SUM(C158:C178)</f>
        <v>2019</v>
      </c>
      <c r="D179" s="192">
        <f t="shared" si="9"/>
        <v>2998.7988000000005</v>
      </c>
      <c r="E179" s="65">
        <f t="shared" si="9"/>
        <v>6815.437</v>
      </c>
      <c r="F179" s="74">
        <f t="shared" si="9"/>
        <v>59638.246</v>
      </c>
      <c r="G179" s="74">
        <f t="shared" si="9"/>
        <v>1017346.634</v>
      </c>
      <c r="H179" s="74">
        <f t="shared" si="9"/>
        <v>38356</v>
      </c>
    </row>
    <row r="180" spans="1:8" ht="15.75">
      <c r="A180" s="75"/>
      <c r="B180" s="184"/>
      <c r="C180" s="104"/>
      <c r="D180" s="104"/>
      <c r="E180" s="104"/>
      <c r="F180" s="76"/>
      <c r="G180" s="76"/>
      <c r="H180" s="76"/>
    </row>
    <row r="181" spans="1:8" ht="22.5">
      <c r="A181" s="75"/>
      <c r="B181" s="184"/>
      <c r="C181" s="31"/>
      <c r="D181" s="133" t="s">
        <v>193</v>
      </c>
      <c r="E181" s="186"/>
      <c r="F181" s="187"/>
      <c r="G181" s="187"/>
      <c r="H181" s="89"/>
    </row>
    <row r="182" spans="1:8" ht="31.5">
      <c r="A182" s="36" t="s">
        <v>3</v>
      </c>
      <c r="B182" s="38" t="s">
        <v>62</v>
      </c>
      <c r="C182" s="38" t="s">
        <v>5</v>
      </c>
      <c r="D182" s="39" t="s">
        <v>6</v>
      </c>
      <c r="E182" s="40" t="s">
        <v>7</v>
      </c>
      <c r="F182" s="41" t="s">
        <v>8</v>
      </c>
      <c r="G182" s="41" t="s">
        <v>9</v>
      </c>
      <c r="H182" s="38" t="s">
        <v>63</v>
      </c>
    </row>
    <row r="183" spans="1:8" ht="15.75">
      <c r="A183" s="21"/>
      <c r="B183" s="178"/>
      <c r="C183" s="54"/>
      <c r="D183" s="45" t="s">
        <v>11</v>
      </c>
      <c r="E183" s="46" t="s">
        <v>64</v>
      </c>
      <c r="F183" s="46" t="s">
        <v>65</v>
      </c>
      <c r="G183" s="46" t="s">
        <v>66</v>
      </c>
      <c r="H183" s="157" t="s">
        <v>15</v>
      </c>
    </row>
    <row r="184" spans="1:8" ht="15.75">
      <c r="A184" s="43">
        <v>1</v>
      </c>
      <c r="B184" s="179" t="s">
        <v>218</v>
      </c>
      <c r="C184" s="43">
        <v>16</v>
      </c>
      <c r="D184" s="180">
        <v>17.25</v>
      </c>
      <c r="E184" s="181">
        <v>1409.702</v>
      </c>
      <c r="F184" s="181">
        <v>844.746</v>
      </c>
      <c r="G184" s="181">
        <v>14101.303</v>
      </c>
      <c r="H184" s="43">
        <v>4586</v>
      </c>
    </row>
    <row r="185" spans="1:8" ht="15.75">
      <c r="A185" s="21">
        <v>2</v>
      </c>
      <c r="B185" s="179" t="s">
        <v>152</v>
      </c>
      <c r="C185" s="43">
        <v>19</v>
      </c>
      <c r="D185" s="180">
        <v>19</v>
      </c>
      <c r="E185" s="181">
        <v>74.25</v>
      </c>
      <c r="F185" s="181">
        <v>22.27</v>
      </c>
      <c r="G185" s="181">
        <v>1287</v>
      </c>
      <c r="H185" s="43">
        <v>50</v>
      </c>
    </row>
    <row r="186" spans="1:8" ht="15.75">
      <c r="A186" s="43">
        <v>3</v>
      </c>
      <c r="B186" s="179" t="s">
        <v>161</v>
      </c>
      <c r="C186" s="43">
        <v>187</v>
      </c>
      <c r="D186" s="180">
        <v>186.76</v>
      </c>
      <c r="E186" s="181">
        <v>3715.334</v>
      </c>
      <c r="F186" s="181">
        <v>5201.467</v>
      </c>
      <c r="G186" s="181">
        <v>29740.777</v>
      </c>
      <c r="H186" s="43">
        <v>1496</v>
      </c>
    </row>
    <row r="187" spans="1:8" ht="15.75">
      <c r="A187" s="21">
        <v>4</v>
      </c>
      <c r="B187" s="179" t="s">
        <v>169</v>
      </c>
      <c r="C187" s="43">
        <v>9</v>
      </c>
      <c r="D187" s="180">
        <v>9</v>
      </c>
      <c r="E187" s="181">
        <v>69.844</v>
      </c>
      <c r="F187" s="181">
        <v>34.922</v>
      </c>
      <c r="G187" s="181">
        <f>565.691</f>
        <v>565.691</v>
      </c>
      <c r="H187" s="43">
        <v>50</v>
      </c>
    </row>
    <row r="188" spans="1:8" ht="15.75">
      <c r="A188" s="43">
        <v>5</v>
      </c>
      <c r="B188" s="179" t="s">
        <v>165</v>
      </c>
      <c r="C188" s="43">
        <v>58</v>
      </c>
      <c r="D188" s="180">
        <v>58</v>
      </c>
      <c r="E188" s="181">
        <v>187.5</v>
      </c>
      <c r="F188" s="181">
        <v>112.5</v>
      </c>
      <c r="G188" s="181">
        <f>1239.118</f>
        <v>1239.118</v>
      </c>
      <c r="H188" s="43">
        <v>400</v>
      </c>
    </row>
    <row r="189" spans="1:8" ht="15.75">
      <c r="A189" s="21">
        <v>6</v>
      </c>
      <c r="B189" s="179" t="s">
        <v>156</v>
      </c>
      <c r="C189" s="43">
        <v>23</v>
      </c>
      <c r="D189" s="180">
        <v>23</v>
      </c>
      <c r="E189" s="181">
        <v>661.625</v>
      </c>
      <c r="F189" s="181">
        <v>165.406</v>
      </c>
      <c r="G189" s="181">
        <v>6315.55</v>
      </c>
      <c r="H189" s="43">
        <v>70</v>
      </c>
    </row>
    <row r="190" spans="1:8" ht="15.75">
      <c r="A190" s="43">
        <v>7</v>
      </c>
      <c r="B190" s="179" t="s">
        <v>211</v>
      </c>
      <c r="C190" s="43">
        <v>18</v>
      </c>
      <c r="D190" s="180">
        <v>18</v>
      </c>
      <c r="E190" s="181">
        <v>2614.725</v>
      </c>
      <c r="F190" s="181">
        <v>1568.835</v>
      </c>
      <c r="G190" s="181">
        <v>17929.979</v>
      </c>
      <c r="H190" s="43">
        <v>580</v>
      </c>
    </row>
    <row r="191" spans="1:8" ht="15.75">
      <c r="A191" s="21">
        <v>8</v>
      </c>
      <c r="B191" s="179" t="s">
        <v>179</v>
      </c>
      <c r="C191" s="43">
        <v>2</v>
      </c>
      <c r="D191" s="180">
        <v>2</v>
      </c>
      <c r="E191" s="181">
        <v>0.1</v>
      </c>
      <c r="F191" s="181">
        <v>0.05</v>
      </c>
      <c r="G191" s="181">
        <v>1506.783</v>
      </c>
      <c r="H191" s="43">
        <v>10</v>
      </c>
    </row>
    <row r="192" spans="1:8" ht="15.75">
      <c r="A192" s="43">
        <v>9</v>
      </c>
      <c r="B192" s="179" t="s">
        <v>147</v>
      </c>
      <c r="C192" s="43">
        <v>157</v>
      </c>
      <c r="D192" s="180">
        <v>606.1</v>
      </c>
      <c r="E192" s="181">
        <v>253.778</v>
      </c>
      <c r="F192" s="181">
        <v>203.022</v>
      </c>
      <c r="G192" s="181">
        <f>12842</f>
        <v>12842</v>
      </c>
      <c r="H192" s="43">
        <v>2079</v>
      </c>
    </row>
    <row r="193" spans="1:8" ht="15.75">
      <c r="A193" s="21">
        <v>10</v>
      </c>
      <c r="B193" s="179" t="s">
        <v>216</v>
      </c>
      <c r="C193" s="43">
        <v>6</v>
      </c>
      <c r="D193" s="180">
        <f>6.75+0.35</f>
        <v>7.1</v>
      </c>
      <c r="E193" s="181">
        <f>3.98+345.875+0.136</f>
        <v>349.99100000000004</v>
      </c>
      <c r="F193" s="181">
        <f>62.974+0.027</f>
        <v>63.001</v>
      </c>
      <c r="G193" s="181">
        <f>2131.232+223+5.623</f>
        <v>2359.855</v>
      </c>
      <c r="H193" s="43">
        <v>47</v>
      </c>
    </row>
    <row r="194" spans="1:8" ht="15.75">
      <c r="A194" s="43">
        <v>11</v>
      </c>
      <c r="B194" s="179" t="s">
        <v>160</v>
      </c>
      <c r="C194" s="43">
        <v>3</v>
      </c>
      <c r="D194" s="180">
        <v>4</v>
      </c>
      <c r="E194" s="181">
        <v>484.916</v>
      </c>
      <c r="F194" s="181">
        <v>145.47</v>
      </c>
      <c r="G194" s="181">
        <v>66</v>
      </c>
      <c r="H194" s="43">
        <v>35</v>
      </c>
    </row>
    <row r="195" spans="1:8" ht="15.75">
      <c r="A195" s="21">
        <v>12</v>
      </c>
      <c r="B195" s="179" t="s">
        <v>173</v>
      </c>
      <c r="C195" s="43">
        <v>128</v>
      </c>
      <c r="D195" s="180">
        <v>151.07</v>
      </c>
      <c r="E195" s="181">
        <v>644.625</v>
      </c>
      <c r="F195" s="181">
        <v>322.312</v>
      </c>
      <c r="G195" s="181">
        <f>3495.4+1661.6</f>
        <v>5157</v>
      </c>
      <c r="H195" s="43">
        <v>820</v>
      </c>
    </row>
    <row r="196" spans="1:8" ht="15.75">
      <c r="A196" s="43">
        <v>13</v>
      </c>
      <c r="B196" s="179" t="s">
        <v>153</v>
      </c>
      <c r="C196" s="43">
        <v>0</v>
      </c>
      <c r="D196" s="180">
        <v>0</v>
      </c>
      <c r="E196" s="181">
        <v>292.477</v>
      </c>
      <c r="F196" s="181">
        <v>146.239</v>
      </c>
      <c r="G196" s="181">
        <f>758.774+1581.047</f>
        <v>2339.821</v>
      </c>
      <c r="H196" s="43">
        <v>0</v>
      </c>
    </row>
    <row r="197" spans="1:8" ht="15.75">
      <c r="A197" s="21">
        <v>14</v>
      </c>
      <c r="B197" s="179" t="s">
        <v>148</v>
      </c>
      <c r="C197" s="43">
        <v>92</v>
      </c>
      <c r="D197" s="180">
        <v>93.05</v>
      </c>
      <c r="E197" s="181">
        <v>2720.095</v>
      </c>
      <c r="F197" s="181">
        <v>2992.1</v>
      </c>
      <c r="G197" s="181">
        <v>12144.334</v>
      </c>
      <c r="H197" s="43">
        <v>4325</v>
      </c>
    </row>
    <row r="198" spans="1:8" ht="15.75">
      <c r="A198" s="43">
        <v>15</v>
      </c>
      <c r="B198" s="179" t="s">
        <v>145</v>
      </c>
      <c r="C198" s="43">
        <v>66</v>
      </c>
      <c r="D198" s="180">
        <v>62.19</v>
      </c>
      <c r="E198" s="181">
        <v>775</v>
      </c>
      <c r="F198" s="181">
        <v>891.25</v>
      </c>
      <c r="G198" s="181">
        <f>16953.139</f>
        <v>16953.139</v>
      </c>
      <c r="H198" s="43">
        <v>225</v>
      </c>
    </row>
    <row r="199" spans="1:8" ht="15.75">
      <c r="A199" s="21">
        <v>16</v>
      </c>
      <c r="B199" s="179" t="s">
        <v>171</v>
      </c>
      <c r="C199" s="43">
        <v>481</v>
      </c>
      <c r="D199" s="180">
        <v>1448.05</v>
      </c>
      <c r="E199" s="181">
        <v>6403.125</v>
      </c>
      <c r="F199" s="181">
        <v>5122.5</v>
      </c>
      <c r="G199" s="181">
        <v>51225</v>
      </c>
      <c r="H199" s="43">
        <v>35096</v>
      </c>
    </row>
    <row r="200" spans="1:8" ht="15.75">
      <c r="A200" s="43">
        <v>17</v>
      </c>
      <c r="B200" s="179" t="s">
        <v>149</v>
      </c>
      <c r="C200" s="43">
        <v>57</v>
      </c>
      <c r="D200" s="180">
        <v>55.585</v>
      </c>
      <c r="E200" s="181">
        <v>1277.48</v>
      </c>
      <c r="F200" s="181">
        <v>1277.48</v>
      </c>
      <c r="G200" s="181">
        <f>7961.747</f>
        <v>7961.747</v>
      </c>
      <c r="H200" s="43">
        <v>1107</v>
      </c>
    </row>
    <row r="201" spans="1:8" ht="15.75">
      <c r="A201" s="21">
        <v>18</v>
      </c>
      <c r="B201" s="179" t="s">
        <v>219</v>
      </c>
      <c r="C201" s="43">
        <v>1</v>
      </c>
      <c r="D201" s="180">
        <v>1</v>
      </c>
      <c r="E201" s="181">
        <v>2.98</v>
      </c>
      <c r="F201" s="181">
        <v>1.19</v>
      </c>
      <c r="G201" s="181">
        <v>31.958</v>
      </c>
      <c r="H201" s="43">
        <v>7</v>
      </c>
    </row>
    <row r="202" spans="1:8" ht="15.75">
      <c r="A202" s="43">
        <v>19</v>
      </c>
      <c r="B202" s="179" t="s">
        <v>155</v>
      </c>
      <c r="C202" s="43">
        <v>111</v>
      </c>
      <c r="D202" s="180">
        <v>82.09</v>
      </c>
      <c r="E202" s="181">
        <v>3355.373</v>
      </c>
      <c r="F202" s="181">
        <v>1677.686</v>
      </c>
      <c r="G202" s="181">
        <v>29330.634</v>
      </c>
      <c r="H202" s="43">
        <v>455</v>
      </c>
    </row>
    <row r="203" spans="1:8" ht="15.75">
      <c r="A203" s="21">
        <v>20</v>
      </c>
      <c r="B203" s="179" t="s">
        <v>212</v>
      </c>
      <c r="C203" s="43">
        <v>0</v>
      </c>
      <c r="D203" s="180">
        <v>0</v>
      </c>
      <c r="E203" s="181">
        <v>20</v>
      </c>
      <c r="F203" s="181">
        <v>10</v>
      </c>
      <c r="G203" s="181">
        <v>160</v>
      </c>
      <c r="H203" s="43">
        <v>0</v>
      </c>
    </row>
    <row r="204" spans="1:8" ht="15.75">
      <c r="A204" s="43">
        <v>21</v>
      </c>
      <c r="B204" s="179" t="s">
        <v>217</v>
      </c>
      <c r="C204" s="43">
        <v>41</v>
      </c>
      <c r="D204" s="180">
        <v>42.68</v>
      </c>
      <c r="E204" s="181">
        <v>85.215</v>
      </c>
      <c r="F204" s="181">
        <v>34.08</v>
      </c>
      <c r="G204" s="181">
        <v>2378.009</v>
      </c>
      <c r="H204" s="43">
        <v>133</v>
      </c>
    </row>
    <row r="205" spans="1:8" ht="15.75">
      <c r="A205" s="21">
        <v>22</v>
      </c>
      <c r="B205" s="179" t="s">
        <v>164</v>
      </c>
      <c r="C205" s="43">
        <v>0</v>
      </c>
      <c r="D205" s="180">
        <v>0</v>
      </c>
      <c r="E205" s="181">
        <f>1835.531+0.2+66.5+3</f>
        <v>1905.231</v>
      </c>
      <c r="F205" s="181">
        <f>1101.32+0.1+3.325+0.18</f>
        <v>1104.925</v>
      </c>
      <c r="G205" s="181">
        <f>11706.328+42.915+760.4</f>
        <v>12509.643</v>
      </c>
      <c r="H205" s="43">
        <v>1420</v>
      </c>
    </row>
    <row r="206" spans="1:8" ht="15.75">
      <c r="A206" s="43">
        <v>23</v>
      </c>
      <c r="B206" s="179" t="s">
        <v>213</v>
      </c>
      <c r="C206" s="43">
        <v>25</v>
      </c>
      <c r="D206" s="180">
        <v>551.75</v>
      </c>
      <c r="E206" s="181">
        <v>28.93</v>
      </c>
      <c r="F206" s="181">
        <v>14.465</v>
      </c>
      <c r="G206" s="181">
        <v>3792</v>
      </c>
      <c r="H206" s="43">
        <v>125</v>
      </c>
    </row>
    <row r="207" spans="1:8" ht="15.75">
      <c r="A207" s="21">
        <v>24</v>
      </c>
      <c r="B207" s="179" t="s">
        <v>146</v>
      </c>
      <c r="C207" s="43">
        <v>722</v>
      </c>
      <c r="D207" s="180">
        <f>916-124.65</f>
        <v>791.35</v>
      </c>
      <c r="E207" s="181">
        <v>7640.2</v>
      </c>
      <c r="F207" s="181">
        <v>3056.08</v>
      </c>
      <c r="G207" s="181">
        <v>99464</v>
      </c>
      <c r="H207" s="43">
        <v>3500</v>
      </c>
    </row>
    <row r="208" spans="1:8" ht="15.75">
      <c r="A208" s="43">
        <v>25</v>
      </c>
      <c r="B208" s="179" t="s">
        <v>170</v>
      </c>
      <c r="C208" s="43">
        <v>175</v>
      </c>
      <c r="D208" s="180">
        <v>176.43</v>
      </c>
      <c r="E208" s="181">
        <v>570.705</v>
      </c>
      <c r="F208" s="181">
        <v>285.352</v>
      </c>
      <c r="G208" s="181">
        <f>14790+13.128</f>
        <v>14803.128</v>
      </c>
      <c r="H208" s="43">
        <v>875</v>
      </c>
    </row>
    <row r="209" spans="1:8" ht="15.75">
      <c r="A209" s="21">
        <v>26</v>
      </c>
      <c r="B209" s="179" t="s">
        <v>176</v>
      </c>
      <c r="C209" s="43">
        <v>72</v>
      </c>
      <c r="D209" s="180">
        <v>72</v>
      </c>
      <c r="E209" s="181">
        <f>457.748+180</f>
        <v>637.748</v>
      </c>
      <c r="F209" s="181">
        <v>343.311</v>
      </c>
      <c r="G209" s="181">
        <v>3046.039</v>
      </c>
      <c r="H209" s="43">
        <v>510</v>
      </c>
    </row>
    <row r="210" spans="1:8" ht="15.75">
      <c r="A210" s="43">
        <v>27</v>
      </c>
      <c r="B210" s="179" t="s">
        <v>167</v>
      </c>
      <c r="C210" s="43">
        <v>101</v>
      </c>
      <c r="D210" s="43">
        <v>201.35</v>
      </c>
      <c r="E210" s="43">
        <v>340.973</v>
      </c>
      <c r="F210" s="43">
        <v>238.68099999999998</v>
      </c>
      <c r="G210" s="181">
        <v>7885</v>
      </c>
      <c r="H210" s="43">
        <v>377</v>
      </c>
    </row>
    <row r="211" spans="1:8" ht="15.75">
      <c r="A211" s="21">
        <v>28</v>
      </c>
      <c r="B211" s="179" t="s">
        <v>177</v>
      </c>
      <c r="C211" s="43">
        <v>56</v>
      </c>
      <c r="D211" s="180">
        <v>64.16</v>
      </c>
      <c r="E211" s="181">
        <v>4379.309</v>
      </c>
      <c r="F211" s="181">
        <v>3503.447</v>
      </c>
      <c r="G211" s="181">
        <v>8442.004</v>
      </c>
      <c r="H211" s="43">
        <v>108</v>
      </c>
    </row>
    <row r="212" spans="1:8" ht="15.75">
      <c r="A212" s="43">
        <v>29</v>
      </c>
      <c r="B212" s="179" t="s">
        <v>220</v>
      </c>
      <c r="C212" s="43">
        <v>72</v>
      </c>
      <c r="D212" s="180">
        <v>72.5</v>
      </c>
      <c r="E212" s="181">
        <v>185</v>
      </c>
      <c r="F212" s="181">
        <v>46.25</v>
      </c>
      <c r="G212" s="181">
        <v>2233</v>
      </c>
      <c r="H212" s="43">
        <v>400</v>
      </c>
    </row>
    <row r="213" spans="1:8" ht="15.75">
      <c r="A213" s="21">
        <v>30</v>
      </c>
      <c r="B213" s="179" t="s">
        <v>221</v>
      </c>
      <c r="C213" s="43">
        <v>170</v>
      </c>
      <c r="D213" s="180">
        <v>160.985</v>
      </c>
      <c r="E213" s="181">
        <v>918.9</v>
      </c>
      <c r="F213" s="181">
        <v>321.615</v>
      </c>
      <c r="G213" s="181">
        <v>10591</v>
      </c>
      <c r="H213" s="43">
        <v>2936</v>
      </c>
    </row>
    <row r="214" spans="1:8" ht="15.75">
      <c r="A214" s="43">
        <v>31</v>
      </c>
      <c r="B214" s="179" t="s">
        <v>172</v>
      </c>
      <c r="C214" s="43">
        <v>5</v>
      </c>
      <c r="D214" s="180">
        <v>5</v>
      </c>
      <c r="E214" s="181">
        <v>49.48</v>
      </c>
      <c r="F214" s="181">
        <v>28.698</v>
      </c>
      <c r="G214" s="181">
        <v>187.876</v>
      </c>
      <c r="H214" s="43">
        <v>9</v>
      </c>
    </row>
    <row r="215" spans="1:8" ht="15.75">
      <c r="A215" s="21">
        <v>32</v>
      </c>
      <c r="B215" s="179" t="s">
        <v>150</v>
      </c>
      <c r="C215" s="43">
        <v>13</v>
      </c>
      <c r="D215" s="180">
        <v>13.9</v>
      </c>
      <c r="E215" s="181">
        <v>141.046</v>
      </c>
      <c r="F215" s="181">
        <v>53.418</v>
      </c>
      <c r="G215" s="181">
        <v>1723.54</v>
      </c>
      <c r="H215" s="43">
        <v>80</v>
      </c>
    </row>
    <row r="216" spans="1:8" ht="15.75">
      <c r="A216" s="43">
        <v>33</v>
      </c>
      <c r="B216" s="179" t="s">
        <v>178</v>
      </c>
      <c r="C216" s="43">
        <v>6</v>
      </c>
      <c r="D216" s="180">
        <v>6</v>
      </c>
      <c r="E216" s="181">
        <v>6.345</v>
      </c>
      <c r="F216" s="181">
        <v>2.031</v>
      </c>
      <c r="G216" s="181">
        <v>812</v>
      </c>
      <c r="H216" s="43">
        <v>30</v>
      </c>
    </row>
    <row r="217" spans="1:8" ht="15.75">
      <c r="A217" s="21">
        <v>34</v>
      </c>
      <c r="B217" s="179" t="s">
        <v>142</v>
      </c>
      <c r="C217" s="43">
        <v>422</v>
      </c>
      <c r="D217" s="180">
        <v>422</v>
      </c>
      <c r="E217" s="181">
        <f>6739.125</f>
        <v>6739.125</v>
      </c>
      <c r="F217" s="181">
        <f>2695.65</f>
        <v>2695.65</v>
      </c>
      <c r="G217" s="181">
        <f>48724.399</f>
        <v>48724.399</v>
      </c>
      <c r="H217" s="43">
        <v>3600</v>
      </c>
    </row>
    <row r="218" spans="1:8" ht="15.75">
      <c r="A218" s="43">
        <v>35</v>
      </c>
      <c r="B218" s="179" t="s">
        <v>159</v>
      </c>
      <c r="C218" s="43">
        <v>55</v>
      </c>
      <c r="D218" s="180">
        <v>56</v>
      </c>
      <c r="E218" s="181">
        <v>365.807</v>
      </c>
      <c r="F218" s="181">
        <v>182.9</v>
      </c>
      <c r="G218" s="181">
        <v>2979.096</v>
      </c>
      <c r="H218" s="43">
        <v>275</v>
      </c>
    </row>
    <row r="219" spans="1:8" ht="15.75">
      <c r="A219" s="21">
        <v>36</v>
      </c>
      <c r="B219" s="179" t="s">
        <v>214</v>
      </c>
      <c r="C219" s="43">
        <v>108</v>
      </c>
      <c r="D219" s="180">
        <v>136.48</v>
      </c>
      <c r="E219" s="181">
        <v>237.586</v>
      </c>
      <c r="F219" s="181">
        <v>142.552</v>
      </c>
      <c r="G219" s="181">
        <v>3520.276</v>
      </c>
      <c r="H219" s="43">
        <v>324</v>
      </c>
    </row>
    <row r="220" spans="1:8" ht="15.75">
      <c r="A220" s="43">
        <v>37</v>
      </c>
      <c r="B220" s="179" t="s">
        <v>151</v>
      </c>
      <c r="C220" s="43">
        <v>69</v>
      </c>
      <c r="D220" s="180">
        <v>79.43</v>
      </c>
      <c r="E220" s="181">
        <v>1442</v>
      </c>
      <c r="F220" s="181">
        <v>1730.4</v>
      </c>
      <c r="G220" s="181">
        <v>17918</v>
      </c>
      <c r="H220" s="43">
        <v>5768</v>
      </c>
    </row>
    <row r="221" spans="1:8" ht="15.75">
      <c r="A221" s="193"/>
      <c r="B221" s="182" t="s">
        <v>143</v>
      </c>
      <c r="C221" s="65">
        <f aca="true" t="shared" si="10" ref="C221:H221">SUM(C184:C220)</f>
        <v>3546</v>
      </c>
      <c r="D221" s="65">
        <f t="shared" si="10"/>
        <v>5695.259999999999</v>
      </c>
      <c r="E221" s="194">
        <f t="shared" si="10"/>
        <v>50986.52000000001</v>
      </c>
      <c r="F221" s="74">
        <f t="shared" si="10"/>
        <v>34586.30100000001</v>
      </c>
      <c r="G221" s="74">
        <f t="shared" si="10"/>
        <v>454266.699</v>
      </c>
      <c r="H221" s="74">
        <f t="shared" si="10"/>
        <v>71908</v>
      </c>
    </row>
    <row r="222" spans="1:8" ht="15.75">
      <c r="A222" s="75"/>
      <c r="B222" s="184"/>
      <c r="C222" s="104"/>
      <c r="D222" s="104"/>
      <c r="E222" s="104"/>
      <c r="F222" s="76"/>
      <c r="G222" s="76"/>
      <c r="H222" s="76"/>
    </row>
    <row r="223" spans="1:8" ht="22.5">
      <c r="A223" s="75"/>
      <c r="B223" s="184"/>
      <c r="C223" s="31"/>
      <c r="D223" s="133" t="s">
        <v>194</v>
      </c>
      <c r="E223" s="186"/>
      <c r="F223" s="187"/>
      <c r="G223" s="187"/>
      <c r="H223" s="89"/>
    </row>
    <row r="224" spans="1:8" ht="31.5">
      <c r="A224" s="36" t="s">
        <v>3</v>
      </c>
      <c r="B224" s="38" t="s">
        <v>62</v>
      </c>
      <c r="C224" s="38" t="s">
        <v>5</v>
      </c>
      <c r="D224" s="39" t="s">
        <v>6</v>
      </c>
      <c r="E224" s="40" t="s">
        <v>7</v>
      </c>
      <c r="F224" s="41" t="s">
        <v>8</v>
      </c>
      <c r="G224" s="41" t="s">
        <v>9</v>
      </c>
      <c r="H224" s="38" t="s">
        <v>63</v>
      </c>
    </row>
    <row r="225" spans="1:8" ht="15.75">
      <c r="A225" s="21"/>
      <c r="B225" s="178"/>
      <c r="C225" s="54"/>
      <c r="D225" s="45" t="s">
        <v>11</v>
      </c>
      <c r="E225" s="46" t="s">
        <v>64</v>
      </c>
      <c r="F225" s="46" t="s">
        <v>65</v>
      </c>
      <c r="G225" s="46" t="s">
        <v>66</v>
      </c>
      <c r="H225" s="157" t="s">
        <v>15</v>
      </c>
    </row>
    <row r="226" spans="1:8" ht="15.75">
      <c r="A226" s="110">
        <v>1</v>
      </c>
      <c r="B226" s="179" t="s">
        <v>171</v>
      </c>
      <c r="C226" s="43">
        <v>2</v>
      </c>
      <c r="D226" s="180">
        <v>966.84</v>
      </c>
      <c r="E226" s="181">
        <v>3.595</v>
      </c>
      <c r="F226" s="181">
        <v>3.595</v>
      </c>
      <c r="G226" s="181">
        <v>151</v>
      </c>
      <c r="H226" s="43">
        <v>22</v>
      </c>
    </row>
    <row r="227" spans="1:8" ht="15.75">
      <c r="A227" s="21">
        <v>2</v>
      </c>
      <c r="B227" s="179" t="s">
        <v>167</v>
      </c>
      <c r="C227" s="43">
        <v>5</v>
      </c>
      <c r="D227" s="180">
        <v>106.69</v>
      </c>
      <c r="E227" s="181">
        <v>1.667</v>
      </c>
      <c r="F227" s="181">
        <v>4.695</v>
      </c>
      <c r="G227" s="181">
        <v>70</v>
      </c>
      <c r="H227" s="43">
        <v>10</v>
      </c>
    </row>
    <row r="228" spans="1:8" ht="15.75">
      <c r="A228" s="21"/>
      <c r="B228" s="182" t="s">
        <v>143</v>
      </c>
      <c r="C228" s="74">
        <f aca="true" t="shared" si="11" ref="C228:H228">SUM(C226:C227)</f>
        <v>7</v>
      </c>
      <c r="D228" s="74">
        <f t="shared" si="11"/>
        <v>1073.53</v>
      </c>
      <c r="E228" s="74">
        <f t="shared" si="11"/>
        <v>5.2620000000000005</v>
      </c>
      <c r="F228" s="195">
        <f t="shared" si="11"/>
        <v>8.290000000000001</v>
      </c>
      <c r="G228" s="195">
        <f t="shared" si="11"/>
        <v>221</v>
      </c>
      <c r="H228" s="74">
        <f t="shared" si="11"/>
        <v>32</v>
      </c>
    </row>
    <row r="229" spans="1:8" ht="15.75">
      <c r="A229" s="75"/>
      <c r="B229" s="184"/>
      <c r="C229" s="76"/>
      <c r="D229" s="76"/>
      <c r="E229" s="76"/>
      <c r="F229" s="76"/>
      <c r="G229" s="76"/>
      <c r="H229" s="76"/>
    </row>
    <row r="230" spans="1:8" ht="22.5">
      <c r="A230" s="75"/>
      <c r="B230" s="184"/>
      <c r="C230" s="89"/>
      <c r="D230" s="131" t="s">
        <v>222</v>
      </c>
      <c r="E230" s="187"/>
      <c r="F230" s="187"/>
      <c r="G230" s="187"/>
      <c r="H230" s="89"/>
    </row>
    <row r="231" spans="1:8" ht="31.5">
      <c r="A231" s="36" t="s">
        <v>3</v>
      </c>
      <c r="B231" s="38" t="s">
        <v>62</v>
      </c>
      <c r="C231" s="38" t="s">
        <v>5</v>
      </c>
      <c r="D231" s="39" t="s">
        <v>6</v>
      </c>
      <c r="E231" s="40" t="s">
        <v>7</v>
      </c>
      <c r="F231" s="41" t="s">
        <v>8</v>
      </c>
      <c r="G231" s="41" t="s">
        <v>9</v>
      </c>
      <c r="H231" s="38" t="s">
        <v>63</v>
      </c>
    </row>
    <row r="232" spans="1:8" ht="15.75">
      <c r="A232" s="21"/>
      <c r="B232" s="178"/>
      <c r="C232" s="54"/>
      <c r="D232" s="45" t="s">
        <v>11</v>
      </c>
      <c r="E232" s="46" t="s">
        <v>64</v>
      </c>
      <c r="F232" s="46" t="s">
        <v>65</v>
      </c>
      <c r="G232" s="46" t="s">
        <v>66</v>
      </c>
      <c r="H232" s="157" t="s">
        <v>15</v>
      </c>
    </row>
    <row r="233" spans="1:8" ht="15.75">
      <c r="A233" s="21">
        <v>1</v>
      </c>
      <c r="B233" s="179" t="s">
        <v>218</v>
      </c>
      <c r="C233" s="43">
        <v>0</v>
      </c>
      <c r="D233" s="180">
        <v>0</v>
      </c>
      <c r="E233" s="181">
        <v>74.173</v>
      </c>
      <c r="F233" s="181">
        <v>437.082</v>
      </c>
      <c r="G233" s="181">
        <v>3134.796</v>
      </c>
      <c r="H233" s="43">
        <v>1277</v>
      </c>
    </row>
    <row r="234" spans="1:8" ht="15.75">
      <c r="A234" s="21">
        <v>2</v>
      </c>
      <c r="B234" s="179" t="s">
        <v>161</v>
      </c>
      <c r="C234" s="43">
        <v>0</v>
      </c>
      <c r="D234" s="180">
        <v>0</v>
      </c>
      <c r="E234" s="181">
        <v>22810.59</v>
      </c>
      <c r="F234" s="181">
        <v>2835.969</v>
      </c>
      <c r="G234" s="181">
        <v>18951.28</v>
      </c>
      <c r="H234" s="43">
        <v>820</v>
      </c>
    </row>
    <row r="235" spans="1:8" ht="15.75">
      <c r="A235" s="21">
        <v>3</v>
      </c>
      <c r="B235" s="179" t="s">
        <v>156</v>
      </c>
      <c r="C235" s="43">
        <v>0</v>
      </c>
      <c r="D235" s="180">
        <v>0</v>
      </c>
      <c r="E235" s="181">
        <f>162.25+315.25</f>
        <v>477.5</v>
      </c>
      <c r="F235" s="181">
        <v>286.5</v>
      </c>
      <c r="G235" s="181">
        <v>2110.95</v>
      </c>
      <c r="H235" s="43">
        <v>0</v>
      </c>
    </row>
    <row r="236" spans="1:8" ht="15.75">
      <c r="A236" s="21">
        <v>4</v>
      </c>
      <c r="B236" s="179" t="s">
        <v>211</v>
      </c>
      <c r="C236" s="43">
        <v>0</v>
      </c>
      <c r="D236" s="180">
        <v>0</v>
      </c>
      <c r="E236" s="181">
        <v>1170.336</v>
      </c>
      <c r="F236" s="181">
        <v>702.202</v>
      </c>
      <c r="G236" s="181">
        <v>8966.3</v>
      </c>
      <c r="H236" s="43">
        <v>250</v>
      </c>
    </row>
    <row r="237" spans="1:8" ht="15.75">
      <c r="A237" s="21">
        <v>5</v>
      </c>
      <c r="B237" s="179" t="s">
        <v>171</v>
      </c>
      <c r="C237" s="43">
        <v>0</v>
      </c>
      <c r="D237" s="180">
        <v>0</v>
      </c>
      <c r="E237" s="181">
        <v>436.571</v>
      </c>
      <c r="F237" s="181">
        <v>261.943</v>
      </c>
      <c r="G237" s="181">
        <v>3492</v>
      </c>
      <c r="H237" s="43">
        <v>0</v>
      </c>
    </row>
    <row r="238" spans="1:8" ht="15.75">
      <c r="A238" s="21">
        <v>6</v>
      </c>
      <c r="B238" s="179" t="s">
        <v>219</v>
      </c>
      <c r="C238" s="43">
        <v>0</v>
      </c>
      <c r="D238" s="180">
        <v>0</v>
      </c>
      <c r="E238" s="181">
        <v>18.16</v>
      </c>
      <c r="F238" s="181">
        <v>10.9</v>
      </c>
      <c r="G238" s="181">
        <v>104.802</v>
      </c>
      <c r="H238" s="43">
        <v>0</v>
      </c>
    </row>
    <row r="239" spans="1:8" ht="15.75">
      <c r="A239" s="21">
        <v>7</v>
      </c>
      <c r="B239" s="179" t="s">
        <v>217</v>
      </c>
      <c r="C239" s="43">
        <v>0</v>
      </c>
      <c r="D239" s="180">
        <v>0</v>
      </c>
      <c r="E239" s="181">
        <v>7.453</v>
      </c>
      <c r="F239" s="181">
        <v>3.726</v>
      </c>
      <c r="G239" s="181">
        <v>59.625</v>
      </c>
      <c r="H239" s="43">
        <v>0</v>
      </c>
    </row>
    <row r="240" spans="1:8" ht="15.75">
      <c r="A240" s="21">
        <v>8</v>
      </c>
      <c r="B240" s="179" t="s">
        <v>164</v>
      </c>
      <c r="C240" s="43">
        <v>0</v>
      </c>
      <c r="D240" s="180">
        <v>0</v>
      </c>
      <c r="E240" s="181">
        <f>1+11924.025</f>
        <v>11925.025</v>
      </c>
      <c r="F240" s="181">
        <f>0.6+3577.207</f>
        <v>3577.807</v>
      </c>
      <c r="G240" s="181">
        <f>10.25+18920.51</f>
        <v>18930.76</v>
      </c>
      <c r="H240" s="43">
        <v>235</v>
      </c>
    </row>
    <row r="241" spans="1:8" ht="15.75">
      <c r="A241" s="21">
        <v>9</v>
      </c>
      <c r="B241" s="179" t="s">
        <v>167</v>
      </c>
      <c r="C241" s="43">
        <v>0</v>
      </c>
      <c r="D241" s="180">
        <v>0</v>
      </c>
      <c r="E241" s="181">
        <v>329.517</v>
      </c>
      <c r="F241" s="181">
        <v>230.659</v>
      </c>
      <c r="G241" s="181">
        <f>3637+325</f>
        <v>3962</v>
      </c>
      <c r="H241" s="43">
        <v>0</v>
      </c>
    </row>
    <row r="242" spans="1:8" ht="15.75">
      <c r="A242" s="21">
        <v>10</v>
      </c>
      <c r="B242" s="179" t="s">
        <v>177</v>
      </c>
      <c r="C242" s="43">
        <v>0</v>
      </c>
      <c r="D242" s="180">
        <v>0</v>
      </c>
      <c r="E242" s="181">
        <f>688.5+198.135+7916.999</f>
        <v>8803.634</v>
      </c>
      <c r="F242" s="181">
        <f>886.635+1979.025</f>
        <v>2865.66</v>
      </c>
      <c r="G242" s="181">
        <v>226.935</v>
      </c>
      <c r="H242" s="43">
        <v>0</v>
      </c>
    </row>
    <row r="243" spans="1:8" ht="15.75">
      <c r="A243" s="21"/>
      <c r="B243" s="182" t="s">
        <v>143</v>
      </c>
      <c r="C243" s="74">
        <f aca="true" t="shared" si="12" ref="C243:H243">SUM(C233:C242)</f>
        <v>0</v>
      </c>
      <c r="D243" s="183">
        <f t="shared" si="12"/>
        <v>0</v>
      </c>
      <c r="E243" s="74">
        <f t="shared" si="12"/>
        <v>46052.958999999995</v>
      </c>
      <c r="F243" s="74">
        <f t="shared" si="12"/>
        <v>11212.447999999999</v>
      </c>
      <c r="G243" s="74">
        <f t="shared" si="12"/>
        <v>59939.448000000004</v>
      </c>
      <c r="H243" s="74">
        <f t="shared" si="12"/>
        <v>2582</v>
      </c>
    </row>
    <row r="244" spans="1:8" ht="15.75">
      <c r="A244" s="75"/>
      <c r="B244" s="184"/>
      <c r="C244" s="76"/>
      <c r="D244" s="76"/>
      <c r="E244" s="76"/>
      <c r="F244" s="76"/>
      <c r="G244" s="76"/>
      <c r="H244" s="76"/>
    </row>
    <row r="245" spans="1:8" ht="22.5">
      <c r="A245" s="75"/>
      <c r="B245" s="184"/>
      <c r="C245" s="89"/>
      <c r="D245" s="131" t="s">
        <v>196</v>
      </c>
      <c r="E245" s="187"/>
      <c r="F245" s="187"/>
      <c r="G245" s="187"/>
      <c r="H245" s="89"/>
    </row>
    <row r="246" spans="1:8" ht="31.5">
      <c r="A246" s="36" t="s">
        <v>3</v>
      </c>
      <c r="B246" s="38" t="s">
        <v>62</v>
      </c>
      <c r="C246" s="38" t="s">
        <v>5</v>
      </c>
      <c r="D246" s="39" t="s">
        <v>6</v>
      </c>
      <c r="E246" s="40" t="s">
        <v>7</v>
      </c>
      <c r="F246" s="41" t="s">
        <v>8</v>
      </c>
      <c r="G246" s="41" t="s">
        <v>9</v>
      </c>
      <c r="H246" s="38" t="s">
        <v>63</v>
      </c>
    </row>
    <row r="247" spans="1:8" ht="15.75">
      <c r="A247" s="21"/>
      <c r="B247" s="178"/>
      <c r="C247" s="54"/>
      <c r="D247" s="45" t="s">
        <v>11</v>
      </c>
      <c r="E247" s="46" t="s">
        <v>64</v>
      </c>
      <c r="F247" s="46" t="s">
        <v>65</v>
      </c>
      <c r="G247" s="46" t="s">
        <v>66</v>
      </c>
      <c r="H247" s="157" t="s">
        <v>15</v>
      </c>
    </row>
    <row r="248" spans="1:8" ht="15.75">
      <c r="A248" s="43">
        <v>1</v>
      </c>
      <c r="B248" s="179" t="s">
        <v>169</v>
      </c>
      <c r="C248" s="43">
        <v>0</v>
      </c>
      <c r="D248" s="180">
        <v>0</v>
      </c>
      <c r="E248" s="181">
        <v>14.375</v>
      </c>
      <c r="F248" s="181">
        <v>107.813</v>
      </c>
      <c r="G248" s="181">
        <v>366.31</v>
      </c>
      <c r="H248" s="43">
        <v>150</v>
      </c>
    </row>
    <row r="249" spans="1:8" ht="15.75">
      <c r="A249" s="21">
        <v>2</v>
      </c>
      <c r="B249" s="179" t="s">
        <v>173</v>
      </c>
      <c r="C249" s="43">
        <v>50</v>
      </c>
      <c r="D249" s="180">
        <v>56</v>
      </c>
      <c r="E249" s="181">
        <v>265.137</v>
      </c>
      <c r="F249" s="181">
        <v>530.275</v>
      </c>
      <c r="G249" s="181">
        <f>576.892+64.108</f>
        <v>641</v>
      </c>
      <c r="H249" s="43">
        <v>250</v>
      </c>
    </row>
    <row r="250" spans="1:8" ht="15.75">
      <c r="A250" s="43">
        <v>3</v>
      </c>
      <c r="B250" s="179" t="s">
        <v>148</v>
      </c>
      <c r="C250" s="43">
        <v>1</v>
      </c>
      <c r="D250" s="180">
        <v>2.25</v>
      </c>
      <c r="E250" s="181">
        <v>0</v>
      </c>
      <c r="F250" s="181">
        <v>0</v>
      </c>
      <c r="G250" s="181">
        <v>22.944</v>
      </c>
      <c r="H250" s="43">
        <v>0</v>
      </c>
    </row>
    <row r="251" spans="1:8" ht="15.75">
      <c r="A251" s="21">
        <v>4</v>
      </c>
      <c r="B251" s="179" t="s">
        <v>145</v>
      </c>
      <c r="C251" s="43">
        <v>1</v>
      </c>
      <c r="D251" s="180">
        <v>13.37</v>
      </c>
      <c r="E251" s="181">
        <v>0.44</v>
      </c>
      <c r="F251" s="181">
        <v>0.88</v>
      </c>
      <c r="G251" s="181">
        <v>39.454</v>
      </c>
      <c r="H251" s="43">
        <v>2</v>
      </c>
    </row>
    <row r="252" spans="1:8" ht="15.75">
      <c r="A252" s="43">
        <v>5</v>
      </c>
      <c r="B252" s="179" t="s">
        <v>149</v>
      </c>
      <c r="C252" s="43">
        <v>7</v>
      </c>
      <c r="D252" s="180">
        <v>6.82</v>
      </c>
      <c r="E252" s="181">
        <v>1.332</v>
      </c>
      <c r="F252" s="181">
        <v>6.66</v>
      </c>
      <c r="G252" s="181">
        <v>82.223</v>
      </c>
      <c r="H252" s="43">
        <v>13</v>
      </c>
    </row>
    <row r="253" spans="1:8" ht="15.75">
      <c r="A253" s="21">
        <v>6</v>
      </c>
      <c r="B253" s="179" t="s">
        <v>146</v>
      </c>
      <c r="C253" s="43">
        <v>1</v>
      </c>
      <c r="D253" s="180">
        <v>124.65</v>
      </c>
      <c r="E253" s="181">
        <v>0</v>
      </c>
      <c r="F253" s="181">
        <v>0</v>
      </c>
      <c r="G253" s="181">
        <v>0</v>
      </c>
      <c r="H253" s="43">
        <v>0</v>
      </c>
    </row>
    <row r="254" spans="1:8" ht="15.75">
      <c r="A254" s="43">
        <v>7</v>
      </c>
      <c r="B254" s="179" t="s">
        <v>142</v>
      </c>
      <c r="C254" s="43">
        <v>1</v>
      </c>
      <c r="D254" s="180">
        <v>1</v>
      </c>
      <c r="E254" s="181">
        <v>0.038</v>
      </c>
      <c r="F254" s="181">
        <v>0.038</v>
      </c>
      <c r="G254" s="181">
        <v>14.513</v>
      </c>
      <c r="H254" s="43">
        <v>5</v>
      </c>
    </row>
    <row r="255" spans="1:8" ht="15.75">
      <c r="A255" s="21">
        <v>8</v>
      </c>
      <c r="B255" s="179" t="s">
        <v>214</v>
      </c>
      <c r="C255" s="43">
        <v>0</v>
      </c>
      <c r="D255" s="180">
        <v>0</v>
      </c>
      <c r="E255" s="181">
        <v>1443.54</v>
      </c>
      <c r="F255" s="181">
        <v>866.124</v>
      </c>
      <c r="G255" s="181">
        <v>1130.368</v>
      </c>
      <c r="H255" s="43">
        <v>534</v>
      </c>
    </row>
    <row r="256" spans="1:8" ht="15.75">
      <c r="A256" s="43">
        <v>9</v>
      </c>
      <c r="B256" s="179" t="s">
        <v>151</v>
      </c>
      <c r="C256" s="43">
        <v>0</v>
      </c>
      <c r="D256" s="180">
        <v>0</v>
      </c>
      <c r="E256" s="181">
        <v>0</v>
      </c>
      <c r="F256" s="181">
        <v>0</v>
      </c>
      <c r="G256" s="181">
        <v>0</v>
      </c>
      <c r="H256" s="43">
        <v>0</v>
      </c>
    </row>
    <row r="257" spans="1:8" ht="15.75">
      <c r="A257" s="21"/>
      <c r="B257" s="182" t="s">
        <v>143</v>
      </c>
      <c r="C257" s="74">
        <f aca="true" t="shared" si="13" ref="C257:H257">SUM(C248:C256)</f>
        <v>61</v>
      </c>
      <c r="D257" s="74">
        <f t="shared" si="13"/>
        <v>204.09</v>
      </c>
      <c r="E257" s="74">
        <f t="shared" si="13"/>
        <v>1724.862</v>
      </c>
      <c r="F257" s="74">
        <f t="shared" si="13"/>
        <v>1511.79</v>
      </c>
      <c r="G257" s="74">
        <f t="shared" si="13"/>
        <v>2296.812</v>
      </c>
      <c r="H257" s="74">
        <f t="shared" si="13"/>
        <v>954</v>
      </c>
    </row>
    <row r="258" spans="1:8" ht="15.75">
      <c r="A258" s="75"/>
      <c r="B258" s="184"/>
      <c r="C258" s="76"/>
      <c r="D258" s="76"/>
      <c r="E258" s="76"/>
      <c r="F258" s="76"/>
      <c r="G258" s="76"/>
      <c r="H258" s="76"/>
    </row>
    <row r="259" spans="1:8" ht="22.5">
      <c r="A259" s="75"/>
      <c r="B259" s="184"/>
      <c r="C259" s="89"/>
      <c r="D259" s="131" t="s">
        <v>197</v>
      </c>
      <c r="E259" s="187"/>
      <c r="F259" s="187"/>
      <c r="G259" s="187"/>
      <c r="H259" s="89"/>
    </row>
    <row r="260" spans="1:8" ht="31.5">
      <c r="A260" s="36" t="s">
        <v>3</v>
      </c>
      <c r="B260" s="38" t="s">
        <v>62</v>
      </c>
      <c r="C260" s="38" t="s">
        <v>5</v>
      </c>
      <c r="D260" s="39" t="s">
        <v>6</v>
      </c>
      <c r="E260" s="40" t="s">
        <v>7</v>
      </c>
      <c r="F260" s="41" t="s">
        <v>8</v>
      </c>
      <c r="G260" s="41" t="s">
        <v>9</v>
      </c>
      <c r="H260" s="38" t="s">
        <v>63</v>
      </c>
    </row>
    <row r="261" spans="1:8" ht="15.75">
      <c r="A261" s="21"/>
      <c r="B261" s="178"/>
      <c r="C261" s="54"/>
      <c r="D261" s="45" t="s">
        <v>11</v>
      </c>
      <c r="E261" s="46" t="s">
        <v>64</v>
      </c>
      <c r="F261" s="46" t="s">
        <v>65</v>
      </c>
      <c r="G261" s="46" t="s">
        <v>66</v>
      </c>
      <c r="H261" s="157" t="s">
        <v>15</v>
      </c>
    </row>
    <row r="262" spans="1:8" ht="15.75">
      <c r="A262" s="43">
        <v>1</v>
      </c>
      <c r="B262" s="179" t="s">
        <v>160</v>
      </c>
      <c r="C262" s="43">
        <v>1</v>
      </c>
      <c r="D262" s="180">
        <v>1</v>
      </c>
      <c r="E262" s="181">
        <v>0</v>
      </c>
      <c r="F262" s="181">
        <v>0</v>
      </c>
      <c r="G262" s="181">
        <v>0</v>
      </c>
      <c r="H262" s="43">
        <v>0</v>
      </c>
    </row>
    <row r="263" spans="1:8" ht="15.75">
      <c r="A263" s="21">
        <v>2</v>
      </c>
      <c r="B263" s="179" t="s">
        <v>148</v>
      </c>
      <c r="C263" s="43">
        <v>1</v>
      </c>
      <c r="D263" s="180">
        <v>1</v>
      </c>
      <c r="E263" s="181">
        <v>0.45</v>
      </c>
      <c r="F263" s="181">
        <v>1.35</v>
      </c>
      <c r="G263" s="181">
        <v>50.06</v>
      </c>
      <c r="H263" s="43">
        <v>5</v>
      </c>
    </row>
    <row r="264" spans="1:8" ht="15.75">
      <c r="A264" s="21">
        <v>3</v>
      </c>
      <c r="B264" s="179" t="s">
        <v>142</v>
      </c>
      <c r="C264" s="43">
        <v>19</v>
      </c>
      <c r="D264" s="180">
        <v>19</v>
      </c>
      <c r="E264" s="181">
        <v>0.868</v>
      </c>
      <c r="F264" s="181">
        <v>1.302</v>
      </c>
      <c r="G264" s="181">
        <v>237.663</v>
      </c>
      <c r="H264" s="43">
        <v>40</v>
      </c>
    </row>
    <row r="265" spans="1:8" ht="15.75">
      <c r="A265" s="21">
        <v>4</v>
      </c>
      <c r="B265" s="179" t="s">
        <v>151</v>
      </c>
      <c r="C265" s="43">
        <v>0</v>
      </c>
      <c r="D265" s="180">
        <v>0</v>
      </c>
      <c r="E265" s="181">
        <v>0</v>
      </c>
      <c r="F265" s="181">
        <v>0</v>
      </c>
      <c r="G265" s="181">
        <v>625</v>
      </c>
      <c r="H265" s="43">
        <v>0</v>
      </c>
    </row>
    <row r="266" spans="1:8" ht="15.75">
      <c r="A266" s="21"/>
      <c r="B266" s="182" t="s">
        <v>143</v>
      </c>
      <c r="C266" s="74">
        <f aca="true" t="shared" si="14" ref="C266:H266">SUM(C262:C265)</f>
        <v>21</v>
      </c>
      <c r="D266" s="183">
        <f t="shared" si="14"/>
        <v>21</v>
      </c>
      <c r="E266" s="74">
        <f t="shared" si="14"/>
        <v>1.318</v>
      </c>
      <c r="F266" s="74">
        <f t="shared" si="14"/>
        <v>2.652</v>
      </c>
      <c r="G266" s="74">
        <f t="shared" si="14"/>
        <v>912.723</v>
      </c>
      <c r="H266" s="74">
        <f t="shared" si="14"/>
        <v>45</v>
      </c>
    </row>
    <row r="267" spans="1:8" ht="15.75">
      <c r="A267" s="75"/>
      <c r="B267" s="184"/>
      <c r="C267" s="76"/>
      <c r="D267" s="76"/>
      <c r="E267" s="76"/>
      <c r="F267" s="76"/>
      <c r="G267" s="76"/>
      <c r="H267" s="76"/>
    </row>
    <row r="268" spans="1:8" ht="22.5">
      <c r="A268" s="75"/>
      <c r="B268" s="184"/>
      <c r="C268" s="89"/>
      <c r="D268" s="131" t="s">
        <v>198</v>
      </c>
      <c r="E268" s="187"/>
      <c r="F268" s="187"/>
      <c r="G268" s="187"/>
      <c r="H268" s="89"/>
    </row>
    <row r="269" spans="1:8" ht="31.5">
      <c r="A269" s="36" t="s">
        <v>3</v>
      </c>
      <c r="B269" s="38" t="s">
        <v>62</v>
      </c>
      <c r="C269" s="38" t="s">
        <v>5</v>
      </c>
      <c r="D269" s="39" t="s">
        <v>6</v>
      </c>
      <c r="E269" s="40" t="s">
        <v>7</v>
      </c>
      <c r="F269" s="41" t="s">
        <v>8</v>
      </c>
      <c r="G269" s="41" t="s">
        <v>9</v>
      </c>
      <c r="H269" s="38" t="s">
        <v>63</v>
      </c>
    </row>
    <row r="270" spans="1:8" ht="15.75">
      <c r="A270" s="21"/>
      <c r="B270" s="178"/>
      <c r="C270" s="54"/>
      <c r="D270" s="45" t="s">
        <v>11</v>
      </c>
      <c r="E270" s="46" t="s">
        <v>64</v>
      </c>
      <c r="F270" s="46" t="s">
        <v>65</v>
      </c>
      <c r="G270" s="46" t="s">
        <v>66</v>
      </c>
      <c r="H270" s="157" t="s">
        <v>15</v>
      </c>
    </row>
    <row r="271" spans="1:8" ht="15.75">
      <c r="A271" s="21">
        <v>1</v>
      </c>
      <c r="B271" s="179" t="s">
        <v>176</v>
      </c>
      <c r="C271" s="43">
        <v>89</v>
      </c>
      <c r="D271" s="180">
        <v>89</v>
      </c>
      <c r="E271" s="181">
        <v>835</v>
      </c>
      <c r="F271" s="181">
        <v>626.25</v>
      </c>
      <c r="G271" s="181">
        <v>7009.793</v>
      </c>
      <c r="H271" s="43">
        <v>630</v>
      </c>
    </row>
    <row r="272" spans="1:8" ht="15.75">
      <c r="A272" s="21">
        <v>2</v>
      </c>
      <c r="B272" s="179" t="s">
        <v>214</v>
      </c>
      <c r="C272" s="43">
        <v>28</v>
      </c>
      <c r="D272" s="180">
        <v>28</v>
      </c>
      <c r="E272" s="181">
        <v>15.076</v>
      </c>
      <c r="F272" s="181">
        <v>15.076</v>
      </c>
      <c r="G272" s="181">
        <v>942.278</v>
      </c>
      <c r="H272" s="43">
        <v>112</v>
      </c>
    </row>
    <row r="273" spans="1:8" ht="15.75">
      <c r="A273" s="21"/>
      <c r="B273" s="182" t="s">
        <v>143</v>
      </c>
      <c r="C273" s="74">
        <f aca="true" t="shared" si="15" ref="C273:H273">SUM(C271:C272)</f>
        <v>117</v>
      </c>
      <c r="D273" s="183">
        <f t="shared" si="15"/>
        <v>117</v>
      </c>
      <c r="E273" s="74">
        <f t="shared" si="15"/>
        <v>850.076</v>
      </c>
      <c r="F273" s="74">
        <f t="shared" si="15"/>
        <v>641.326</v>
      </c>
      <c r="G273" s="74">
        <f t="shared" si="15"/>
        <v>7952.071</v>
      </c>
      <c r="H273" s="74">
        <f t="shared" si="15"/>
        <v>742</v>
      </c>
    </row>
    <row r="274" spans="1:8" ht="15.75">
      <c r="A274" s="75"/>
      <c r="B274" s="184"/>
      <c r="C274" s="76"/>
      <c r="D274" s="76"/>
      <c r="E274" s="76"/>
      <c r="F274" s="76"/>
      <c r="G274" s="76"/>
      <c r="H274" s="76"/>
    </row>
    <row r="275" spans="1:8" ht="22.5">
      <c r="A275" s="75"/>
      <c r="B275" s="184"/>
      <c r="C275" s="89"/>
      <c r="D275" s="131" t="s">
        <v>199</v>
      </c>
      <c r="E275" s="187"/>
      <c r="F275" s="187"/>
      <c r="G275" s="187"/>
      <c r="H275" s="89"/>
    </row>
    <row r="276" spans="1:8" ht="31.5">
      <c r="A276" s="36" t="s">
        <v>3</v>
      </c>
      <c r="B276" s="38" t="s">
        <v>62</v>
      </c>
      <c r="C276" s="38" t="s">
        <v>5</v>
      </c>
      <c r="D276" s="39" t="s">
        <v>6</v>
      </c>
      <c r="E276" s="40" t="s">
        <v>7</v>
      </c>
      <c r="F276" s="41" t="s">
        <v>8</v>
      </c>
      <c r="G276" s="41" t="s">
        <v>9</v>
      </c>
      <c r="H276" s="38" t="s">
        <v>63</v>
      </c>
    </row>
    <row r="277" spans="1:8" ht="15.75">
      <c r="A277" s="21"/>
      <c r="B277" s="178"/>
      <c r="C277" s="54"/>
      <c r="D277" s="45" t="s">
        <v>11</v>
      </c>
      <c r="E277" s="46" t="s">
        <v>64</v>
      </c>
      <c r="F277" s="46" t="s">
        <v>65</v>
      </c>
      <c r="G277" s="46" t="s">
        <v>66</v>
      </c>
      <c r="H277" s="157" t="s">
        <v>15</v>
      </c>
    </row>
    <row r="278" spans="1:8" ht="15.75">
      <c r="A278" s="21">
        <v>1</v>
      </c>
      <c r="B278" s="179" t="s">
        <v>175</v>
      </c>
      <c r="C278" s="43">
        <v>2</v>
      </c>
      <c r="D278" s="180">
        <v>0</v>
      </c>
      <c r="E278" s="181">
        <v>0.192</v>
      </c>
      <c r="F278" s="181">
        <v>18.617</v>
      </c>
      <c r="G278" s="181">
        <v>217.037</v>
      </c>
      <c r="H278" s="43">
        <v>30</v>
      </c>
    </row>
    <row r="279" spans="1:8" ht="15.75">
      <c r="A279" s="21"/>
      <c r="B279" s="182" t="s">
        <v>143</v>
      </c>
      <c r="C279" s="74">
        <f aca="true" t="shared" si="16" ref="C279:H279">SUM(C278)</f>
        <v>2</v>
      </c>
      <c r="D279" s="183">
        <f t="shared" si="16"/>
        <v>0</v>
      </c>
      <c r="E279" s="74">
        <f t="shared" si="16"/>
        <v>0.192</v>
      </c>
      <c r="F279" s="74">
        <f t="shared" si="16"/>
        <v>18.617</v>
      </c>
      <c r="G279" s="74">
        <f t="shared" si="16"/>
        <v>217.037</v>
      </c>
      <c r="H279" s="74">
        <f t="shared" si="16"/>
        <v>30</v>
      </c>
    </row>
    <row r="280" spans="1:8" ht="15.75">
      <c r="A280" s="75"/>
      <c r="B280" s="184"/>
      <c r="C280" s="76"/>
      <c r="D280" s="76"/>
      <c r="E280" s="76"/>
      <c r="F280" s="76"/>
      <c r="G280" s="76"/>
      <c r="H280" s="76"/>
    </row>
    <row r="281" spans="1:8" ht="22.5">
      <c r="A281" s="75"/>
      <c r="B281" s="184"/>
      <c r="C281" s="89"/>
      <c r="D281" s="131" t="s">
        <v>200</v>
      </c>
      <c r="E281" s="187"/>
      <c r="F281" s="187"/>
      <c r="G281" s="187"/>
      <c r="H281" s="89"/>
    </row>
    <row r="282" spans="1:8" ht="31.5">
      <c r="A282" s="36" t="s">
        <v>3</v>
      </c>
      <c r="B282" s="38" t="s">
        <v>62</v>
      </c>
      <c r="C282" s="38" t="s">
        <v>5</v>
      </c>
      <c r="D282" s="39" t="s">
        <v>6</v>
      </c>
      <c r="E282" s="40" t="s">
        <v>7</v>
      </c>
      <c r="F282" s="41" t="s">
        <v>8</v>
      </c>
      <c r="G282" s="41" t="s">
        <v>9</v>
      </c>
      <c r="H282" s="38" t="s">
        <v>63</v>
      </c>
    </row>
    <row r="283" spans="1:8" ht="15.75">
      <c r="A283" s="21"/>
      <c r="B283" s="178"/>
      <c r="C283" s="54"/>
      <c r="D283" s="45" t="s">
        <v>11</v>
      </c>
      <c r="E283" s="46" t="s">
        <v>64</v>
      </c>
      <c r="F283" s="46" t="s">
        <v>65</v>
      </c>
      <c r="G283" s="46" t="s">
        <v>66</v>
      </c>
      <c r="H283" s="157" t="s">
        <v>15</v>
      </c>
    </row>
    <row r="284" spans="1:8" ht="15.75">
      <c r="A284" s="110">
        <v>1</v>
      </c>
      <c r="B284" s="179" t="s">
        <v>218</v>
      </c>
      <c r="C284" s="43">
        <v>16</v>
      </c>
      <c r="D284" s="180">
        <v>16</v>
      </c>
      <c r="E284" s="181">
        <v>540.582</v>
      </c>
      <c r="F284" s="181">
        <v>2297.473</v>
      </c>
      <c r="G284" s="181">
        <v>6189.133</v>
      </c>
      <c r="H284" s="43">
        <v>7425</v>
      </c>
    </row>
    <row r="285" spans="1:8" ht="15.75">
      <c r="A285" s="21">
        <v>2</v>
      </c>
      <c r="B285" s="179" t="s">
        <v>211</v>
      </c>
      <c r="C285" s="43">
        <v>61</v>
      </c>
      <c r="D285" s="180">
        <v>95.94</v>
      </c>
      <c r="E285" s="181">
        <v>25.809</v>
      </c>
      <c r="F285" s="181">
        <v>129.05</v>
      </c>
      <c r="G285" s="181">
        <v>3456.156</v>
      </c>
      <c r="H285" s="43">
        <v>60</v>
      </c>
    </row>
    <row r="286" spans="1:8" ht="15.75">
      <c r="A286" s="110">
        <v>3</v>
      </c>
      <c r="B286" s="179" t="s">
        <v>171</v>
      </c>
      <c r="C286" s="43">
        <v>46</v>
      </c>
      <c r="D286" s="180">
        <v>2265.04</v>
      </c>
      <c r="E286" s="181">
        <v>103.786</v>
      </c>
      <c r="F286" s="181">
        <v>207.572</v>
      </c>
      <c r="G286" s="181">
        <v>4359</v>
      </c>
      <c r="H286" s="43">
        <v>2146</v>
      </c>
    </row>
    <row r="287" spans="1:8" ht="15.75">
      <c r="A287" s="21">
        <v>4</v>
      </c>
      <c r="B287" s="179" t="s">
        <v>219</v>
      </c>
      <c r="C287" s="43">
        <v>0</v>
      </c>
      <c r="D287" s="180">
        <v>0</v>
      </c>
      <c r="E287" s="181">
        <v>2162.157</v>
      </c>
      <c r="F287" s="181">
        <v>15135.1</v>
      </c>
      <c r="G287" s="181">
        <v>122767.688</v>
      </c>
      <c r="H287" s="43">
        <v>19800</v>
      </c>
    </row>
    <row r="288" spans="1:8" ht="15.75">
      <c r="A288" s="110">
        <v>5</v>
      </c>
      <c r="B288" s="179" t="s">
        <v>155</v>
      </c>
      <c r="C288" s="43">
        <v>0</v>
      </c>
      <c r="D288" s="180">
        <v>0</v>
      </c>
      <c r="E288" s="181">
        <v>64.422</v>
      </c>
      <c r="F288" s="181">
        <v>32.211</v>
      </c>
      <c r="G288" s="181">
        <v>687.172</v>
      </c>
      <c r="H288" s="43">
        <v>80</v>
      </c>
    </row>
    <row r="289" spans="1:8" ht="15.75">
      <c r="A289" s="21">
        <v>6</v>
      </c>
      <c r="B289" s="179" t="s">
        <v>212</v>
      </c>
      <c r="C289" s="43">
        <v>366</v>
      </c>
      <c r="D289" s="180">
        <v>1086.03</v>
      </c>
      <c r="E289" s="181">
        <v>1666.67</v>
      </c>
      <c r="F289" s="181">
        <v>6666.67</v>
      </c>
      <c r="G289" s="181">
        <v>69608</v>
      </c>
      <c r="H289" s="43">
        <v>3660</v>
      </c>
    </row>
    <row r="290" spans="1:8" ht="15.75">
      <c r="A290" s="110">
        <v>7</v>
      </c>
      <c r="B290" s="179" t="s">
        <v>217</v>
      </c>
      <c r="C290" s="43">
        <v>404</v>
      </c>
      <c r="D290" s="180">
        <v>588.71</v>
      </c>
      <c r="E290" s="181">
        <v>238.84</v>
      </c>
      <c r="F290" s="181">
        <v>1433.04</v>
      </c>
      <c r="G290" s="181">
        <v>19738.622</v>
      </c>
      <c r="H290" s="43">
        <v>8080</v>
      </c>
    </row>
    <row r="291" spans="1:8" ht="15.75">
      <c r="A291" s="21">
        <v>8</v>
      </c>
      <c r="B291" s="179" t="s">
        <v>164</v>
      </c>
      <c r="C291" s="43">
        <v>0</v>
      </c>
      <c r="D291" s="180">
        <v>0</v>
      </c>
      <c r="E291" s="181">
        <v>0</v>
      </c>
      <c r="F291" s="181">
        <v>0</v>
      </c>
      <c r="G291" s="181">
        <v>3539.678</v>
      </c>
      <c r="H291" s="43">
        <v>0</v>
      </c>
    </row>
    <row r="292" spans="1:8" ht="15.75">
      <c r="A292" s="110">
        <v>9</v>
      </c>
      <c r="B292" s="179" t="s">
        <v>213</v>
      </c>
      <c r="C292" s="43">
        <v>147</v>
      </c>
      <c r="D292" s="180">
        <v>13198</v>
      </c>
      <c r="E292" s="181">
        <v>196.404</v>
      </c>
      <c r="F292" s="181">
        <v>746.335</v>
      </c>
      <c r="G292" s="181">
        <v>41974</v>
      </c>
      <c r="H292" s="43">
        <v>1905</v>
      </c>
    </row>
    <row r="293" spans="1:8" ht="15.75">
      <c r="A293" s="21">
        <v>10</v>
      </c>
      <c r="B293" s="179" t="s">
        <v>176</v>
      </c>
      <c r="C293" s="43">
        <v>21</v>
      </c>
      <c r="D293" s="180">
        <v>29</v>
      </c>
      <c r="E293" s="181">
        <v>2385.773</v>
      </c>
      <c r="F293" s="181">
        <v>5964.432</v>
      </c>
      <c r="G293" s="181">
        <v>150737.852</v>
      </c>
      <c r="H293" s="43">
        <v>36500</v>
      </c>
    </row>
    <row r="294" spans="1:8" ht="15.75">
      <c r="A294" s="110">
        <v>11</v>
      </c>
      <c r="B294" s="179" t="s">
        <v>167</v>
      </c>
      <c r="C294" s="43">
        <v>175</v>
      </c>
      <c r="D294" s="180">
        <v>12262.581</v>
      </c>
      <c r="E294" s="181">
        <v>353.022</v>
      </c>
      <c r="F294" s="181">
        <v>988.462</v>
      </c>
      <c r="G294" s="181">
        <f>45147-97</f>
        <v>45050</v>
      </c>
      <c r="H294" s="43">
        <v>12000</v>
      </c>
    </row>
    <row r="295" spans="1:8" ht="15.75">
      <c r="A295" s="21">
        <v>12</v>
      </c>
      <c r="B295" s="179" t="s">
        <v>177</v>
      </c>
      <c r="C295" s="43">
        <v>12</v>
      </c>
      <c r="D295" s="180">
        <v>9.01</v>
      </c>
      <c r="E295" s="181">
        <v>3.683</v>
      </c>
      <c r="F295" s="181">
        <v>31.305</v>
      </c>
      <c r="G295" s="181">
        <v>752.474</v>
      </c>
      <c r="H295" s="43">
        <v>93</v>
      </c>
    </row>
    <row r="296" spans="1:8" ht="15.75">
      <c r="A296" s="110">
        <v>13</v>
      </c>
      <c r="B296" s="179" t="s">
        <v>221</v>
      </c>
      <c r="C296" s="43">
        <v>0</v>
      </c>
      <c r="D296" s="180">
        <v>0</v>
      </c>
      <c r="E296" s="181">
        <v>65</v>
      </c>
      <c r="F296" s="181">
        <v>325</v>
      </c>
      <c r="G296" s="181">
        <v>6401</v>
      </c>
      <c r="H296" s="43">
        <v>240</v>
      </c>
    </row>
    <row r="297" spans="1:8" ht="15.75">
      <c r="A297" s="21">
        <v>14</v>
      </c>
      <c r="B297" s="179" t="s">
        <v>178</v>
      </c>
      <c r="C297" s="43">
        <v>9</v>
      </c>
      <c r="D297" s="180">
        <v>6.69</v>
      </c>
      <c r="E297" s="181">
        <v>0.925</v>
      </c>
      <c r="F297" s="181">
        <v>9.25</v>
      </c>
      <c r="G297" s="181">
        <v>73</v>
      </c>
      <c r="H297" s="43">
        <v>19</v>
      </c>
    </row>
    <row r="298" spans="1:8" ht="15.75">
      <c r="A298" s="21"/>
      <c r="B298" s="182" t="s">
        <v>143</v>
      </c>
      <c r="C298" s="74">
        <f aca="true" t="shared" si="17" ref="C298:H298">SUM(C284:C297)</f>
        <v>1257</v>
      </c>
      <c r="D298" s="183">
        <f t="shared" si="17"/>
        <v>29557.000999999997</v>
      </c>
      <c r="E298" s="74">
        <f t="shared" si="17"/>
        <v>7807.073</v>
      </c>
      <c r="F298" s="195">
        <f t="shared" si="17"/>
        <v>33965.9</v>
      </c>
      <c r="G298" s="74">
        <f t="shared" si="17"/>
        <v>475333.77499999997</v>
      </c>
      <c r="H298" s="74">
        <f t="shared" si="17"/>
        <v>92008</v>
      </c>
    </row>
    <row r="299" spans="1:8" ht="15.75">
      <c r="A299" s="75"/>
      <c r="B299" s="184"/>
      <c r="C299" s="76"/>
      <c r="D299" s="76"/>
      <c r="E299" s="76"/>
      <c r="F299" s="76"/>
      <c r="G299" s="76"/>
      <c r="H299" s="76"/>
    </row>
    <row r="300" spans="1:8" ht="22.5">
      <c r="A300" s="75"/>
      <c r="B300" s="184"/>
      <c r="C300" s="89"/>
      <c r="D300" s="131" t="s">
        <v>201</v>
      </c>
      <c r="E300" s="187"/>
      <c r="F300" s="187"/>
      <c r="G300" s="187"/>
      <c r="H300" s="89"/>
    </row>
    <row r="301" spans="1:8" ht="31.5">
      <c r="A301" s="36" t="s">
        <v>3</v>
      </c>
      <c r="B301" s="38" t="s">
        <v>62</v>
      </c>
      <c r="C301" s="38" t="s">
        <v>5</v>
      </c>
      <c r="D301" s="39" t="s">
        <v>6</v>
      </c>
      <c r="E301" s="40" t="s">
        <v>7</v>
      </c>
      <c r="F301" s="41" t="s">
        <v>8</v>
      </c>
      <c r="G301" s="41" t="s">
        <v>9</v>
      </c>
      <c r="H301" s="38" t="s">
        <v>63</v>
      </c>
    </row>
    <row r="302" spans="1:8" ht="15.75">
      <c r="A302" s="21"/>
      <c r="B302" s="178"/>
      <c r="C302" s="54"/>
      <c r="D302" s="45" t="s">
        <v>11</v>
      </c>
      <c r="E302" s="46" t="s">
        <v>64</v>
      </c>
      <c r="F302" s="46" t="s">
        <v>65</v>
      </c>
      <c r="G302" s="46" t="s">
        <v>66</v>
      </c>
      <c r="H302" s="157" t="s">
        <v>15</v>
      </c>
    </row>
    <row r="303" spans="1:8" ht="15.75">
      <c r="A303" s="21">
        <v>1</v>
      </c>
      <c r="B303" s="179" t="s">
        <v>169</v>
      </c>
      <c r="C303" s="43">
        <v>116</v>
      </c>
      <c r="D303" s="180">
        <v>116.257</v>
      </c>
      <c r="E303" s="181">
        <v>151.626</v>
      </c>
      <c r="F303" s="181">
        <v>2274.39</v>
      </c>
      <c r="G303" s="181">
        <v>23793.186</v>
      </c>
      <c r="H303" s="43">
        <v>1500</v>
      </c>
    </row>
    <row r="304" spans="1:8" ht="15.75">
      <c r="A304" s="21">
        <v>2</v>
      </c>
      <c r="B304" s="179" t="s">
        <v>179</v>
      </c>
      <c r="C304" s="43">
        <v>184</v>
      </c>
      <c r="D304" s="180">
        <v>194.72</v>
      </c>
      <c r="E304" s="181">
        <v>632.812</v>
      </c>
      <c r="F304" s="181">
        <v>6235.16</v>
      </c>
      <c r="G304" s="181">
        <v>134072.615</v>
      </c>
      <c r="H304" s="43">
        <v>1020</v>
      </c>
    </row>
    <row r="305" spans="1:8" ht="15.75">
      <c r="A305" s="21">
        <v>3</v>
      </c>
      <c r="B305" s="179" t="s">
        <v>151</v>
      </c>
      <c r="C305" s="43">
        <v>27</v>
      </c>
      <c r="D305" s="180">
        <v>38.62</v>
      </c>
      <c r="E305" s="181">
        <v>42.862</v>
      </c>
      <c r="F305" s="181">
        <f>300.034+557.206</f>
        <v>857.24</v>
      </c>
      <c r="G305" s="181">
        <v>3401</v>
      </c>
      <c r="H305" s="43">
        <v>342</v>
      </c>
    </row>
    <row r="306" spans="1:8" ht="15.75">
      <c r="A306" s="21"/>
      <c r="B306" s="182" t="s">
        <v>143</v>
      </c>
      <c r="C306" s="74">
        <f aca="true" t="shared" si="18" ref="C306:H306">SUM(C303:C305)</f>
        <v>327</v>
      </c>
      <c r="D306" s="74">
        <f t="shared" si="18"/>
        <v>349.597</v>
      </c>
      <c r="E306" s="195">
        <f t="shared" si="18"/>
        <v>827.3</v>
      </c>
      <c r="F306" s="195">
        <f t="shared" si="18"/>
        <v>9366.789999999999</v>
      </c>
      <c r="G306" s="74">
        <f t="shared" si="18"/>
        <v>161266.80099999998</v>
      </c>
      <c r="H306" s="74">
        <f t="shared" si="18"/>
        <v>2862</v>
      </c>
    </row>
    <row r="307" spans="1:8" ht="15.75">
      <c r="A307" s="75"/>
      <c r="B307" s="184"/>
      <c r="C307" s="76"/>
      <c r="D307" s="76"/>
      <c r="E307" s="76"/>
      <c r="F307" s="76"/>
      <c r="G307" s="76"/>
      <c r="H307" s="76"/>
    </row>
    <row r="308" spans="1:8" ht="22.5">
      <c r="A308" s="75"/>
      <c r="B308" s="184"/>
      <c r="C308" s="89"/>
      <c r="D308" s="131" t="s">
        <v>202</v>
      </c>
      <c r="E308" s="187"/>
      <c r="F308" s="187"/>
      <c r="G308" s="187"/>
      <c r="H308" s="89"/>
    </row>
    <row r="309" spans="1:8" ht="31.5">
      <c r="A309" s="36" t="s">
        <v>3</v>
      </c>
      <c r="B309" s="38" t="s">
        <v>62</v>
      </c>
      <c r="C309" s="38" t="s">
        <v>5</v>
      </c>
      <c r="D309" s="39" t="s">
        <v>6</v>
      </c>
      <c r="E309" s="40" t="s">
        <v>7</v>
      </c>
      <c r="F309" s="41" t="s">
        <v>8</v>
      </c>
      <c r="G309" s="41" t="s">
        <v>9</v>
      </c>
      <c r="H309" s="38" t="s">
        <v>63</v>
      </c>
    </row>
    <row r="310" spans="1:8" ht="15.75">
      <c r="A310" s="21"/>
      <c r="B310" s="178"/>
      <c r="C310" s="54"/>
      <c r="D310" s="45" t="s">
        <v>11</v>
      </c>
      <c r="E310" s="46" t="s">
        <v>64</v>
      </c>
      <c r="F310" s="46" t="s">
        <v>65</v>
      </c>
      <c r="G310" s="46" t="s">
        <v>66</v>
      </c>
      <c r="H310" s="157" t="s">
        <v>15</v>
      </c>
    </row>
    <row r="311" spans="1:8" ht="15.75">
      <c r="A311" s="21">
        <v>1</v>
      </c>
      <c r="B311" s="179" t="s">
        <v>216</v>
      </c>
      <c r="C311" s="43">
        <v>2</v>
      </c>
      <c r="D311" s="180">
        <v>1.66</v>
      </c>
      <c r="E311" s="181">
        <v>0</v>
      </c>
      <c r="F311" s="181">
        <v>0</v>
      </c>
      <c r="G311" s="181">
        <v>9.75</v>
      </c>
      <c r="H311" s="43">
        <v>0</v>
      </c>
    </row>
    <row r="312" spans="1:8" ht="15.75">
      <c r="A312" s="21"/>
      <c r="B312" s="182" t="s">
        <v>143</v>
      </c>
      <c r="C312" s="74">
        <f aca="true" t="shared" si="19" ref="C312:H312">SUM(C311)</f>
        <v>2</v>
      </c>
      <c r="D312" s="74">
        <f t="shared" si="19"/>
        <v>1.66</v>
      </c>
      <c r="E312" s="195">
        <f t="shared" si="19"/>
        <v>0</v>
      </c>
      <c r="F312" s="195">
        <f t="shared" si="19"/>
        <v>0</v>
      </c>
      <c r="G312" s="195">
        <f t="shared" si="19"/>
        <v>9.75</v>
      </c>
      <c r="H312" s="74">
        <f t="shared" si="19"/>
        <v>0</v>
      </c>
    </row>
    <row r="313" spans="1:8" ht="15.75">
      <c r="A313" s="75"/>
      <c r="B313" s="184"/>
      <c r="C313" s="76"/>
      <c r="D313" s="76"/>
      <c r="E313" s="76"/>
      <c r="F313" s="76"/>
      <c r="G313" s="76"/>
      <c r="H313" s="76"/>
    </row>
    <row r="314" spans="1:8" ht="22.5">
      <c r="A314" s="75"/>
      <c r="B314" s="184"/>
      <c r="C314" s="89"/>
      <c r="D314" s="131" t="s">
        <v>203</v>
      </c>
      <c r="E314" s="187"/>
      <c r="F314" s="187"/>
      <c r="G314" s="187"/>
      <c r="H314" s="89"/>
    </row>
    <row r="315" spans="1:8" ht="31.5">
      <c r="A315" s="36" t="s">
        <v>3</v>
      </c>
      <c r="B315" s="38" t="s">
        <v>62</v>
      </c>
      <c r="C315" s="38" t="s">
        <v>5</v>
      </c>
      <c r="D315" s="39" t="s">
        <v>6</v>
      </c>
      <c r="E315" s="40" t="s">
        <v>7</v>
      </c>
      <c r="F315" s="41" t="s">
        <v>8</v>
      </c>
      <c r="G315" s="41" t="s">
        <v>9</v>
      </c>
      <c r="H315" s="38" t="s">
        <v>63</v>
      </c>
    </row>
    <row r="316" spans="1:8" ht="15.75">
      <c r="A316" s="21"/>
      <c r="B316" s="178"/>
      <c r="C316" s="54"/>
      <c r="D316" s="45" t="s">
        <v>11</v>
      </c>
      <c r="E316" s="46" t="s">
        <v>64</v>
      </c>
      <c r="F316" s="46" t="s">
        <v>65</v>
      </c>
      <c r="G316" s="46" t="s">
        <v>66</v>
      </c>
      <c r="H316" s="157" t="s">
        <v>15</v>
      </c>
    </row>
    <row r="317" spans="1:8" ht="15.75">
      <c r="A317" s="21">
        <v>1</v>
      </c>
      <c r="B317" s="179" t="s">
        <v>147</v>
      </c>
      <c r="C317" s="43">
        <v>24</v>
      </c>
      <c r="D317" s="180">
        <v>41.75</v>
      </c>
      <c r="E317" s="181">
        <v>1.536</v>
      </c>
      <c r="F317" s="181">
        <v>2.457</v>
      </c>
      <c r="G317" s="181">
        <v>786</v>
      </c>
      <c r="H317" s="43">
        <v>182</v>
      </c>
    </row>
    <row r="318" spans="1:8" ht="15.75">
      <c r="A318" s="21">
        <v>2</v>
      </c>
      <c r="B318" s="179" t="s">
        <v>173</v>
      </c>
      <c r="C318" s="43">
        <v>3</v>
      </c>
      <c r="D318" s="180">
        <v>2.65</v>
      </c>
      <c r="E318" s="181">
        <v>0.805</v>
      </c>
      <c r="F318" s="181">
        <v>1.61</v>
      </c>
      <c r="G318" s="181">
        <v>29</v>
      </c>
      <c r="H318" s="43">
        <v>20</v>
      </c>
    </row>
    <row r="319" spans="1:8" ht="15.75">
      <c r="A319" s="21">
        <v>3</v>
      </c>
      <c r="B319" s="179" t="s">
        <v>217</v>
      </c>
      <c r="C319" s="43">
        <v>4</v>
      </c>
      <c r="D319" s="180">
        <v>4</v>
      </c>
      <c r="E319" s="181">
        <v>0.875</v>
      </c>
      <c r="F319" s="181">
        <v>3.5</v>
      </c>
      <c r="G319" s="181">
        <v>158.137</v>
      </c>
      <c r="H319" s="43">
        <v>12</v>
      </c>
    </row>
    <row r="320" spans="1:8" ht="15.75">
      <c r="A320" s="21">
        <v>4</v>
      </c>
      <c r="B320" s="179" t="s">
        <v>146</v>
      </c>
      <c r="C320" s="43">
        <v>1</v>
      </c>
      <c r="D320" s="180">
        <v>1</v>
      </c>
      <c r="E320" s="181">
        <v>0</v>
      </c>
      <c r="F320" s="181">
        <v>0</v>
      </c>
      <c r="G320" s="181">
        <v>35</v>
      </c>
      <c r="H320" s="43">
        <v>1</v>
      </c>
    </row>
    <row r="321" spans="1:8" ht="15.75">
      <c r="A321" s="21"/>
      <c r="B321" s="182" t="s">
        <v>143</v>
      </c>
      <c r="C321" s="74">
        <f aca="true" t="shared" si="20" ref="C321:H321">SUM(C317:C320)</f>
        <v>32</v>
      </c>
      <c r="D321" s="183">
        <f t="shared" si="20"/>
        <v>49.4</v>
      </c>
      <c r="E321" s="74">
        <f t="shared" si="20"/>
        <v>3.216</v>
      </c>
      <c r="F321" s="74">
        <f t="shared" si="20"/>
        <v>7.567</v>
      </c>
      <c r="G321" s="74">
        <f t="shared" si="20"/>
        <v>1008.137</v>
      </c>
      <c r="H321" s="74">
        <f t="shared" si="20"/>
        <v>215</v>
      </c>
    </row>
    <row r="323" spans="1:8" ht="22.5">
      <c r="A323" s="75"/>
      <c r="B323" s="184"/>
      <c r="C323" s="89"/>
      <c r="D323" s="131" t="s">
        <v>79</v>
      </c>
      <c r="E323" s="187"/>
      <c r="F323" s="187"/>
      <c r="G323" s="187"/>
      <c r="H323" s="89"/>
    </row>
    <row r="324" spans="1:8" ht="31.5">
      <c r="A324" s="36" t="s">
        <v>3</v>
      </c>
      <c r="B324" s="38" t="s">
        <v>62</v>
      </c>
      <c r="C324" s="38" t="s">
        <v>5</v>
      </c>
      <c r="D324" s="39" t="s">
        <v>6</v>
      </c>
      <c r="E324" s="40" t="s">
        <v>7</v>
      </c>
      <c r="F324" s="41" t="s">
        <v>8</v>
      </c>
      <c r="G324" s="41" t="s">
        <v>9</v>
      </c>
      <c r="H324" s="38" t="s">
        <v>63</v>
      </c>
    </row>
    <row r="325" spans="1:8" ht="15.75">
      <c r="A325" s="21"/>
      <c r="B325" s="178"/>
      <c r="C325" s="54"/>
      <c r="D325" s="45" t="s">
        <v>11</v>
      </c>
      <c r="E325" s="46" t="s">
        <v>64</v>
      </c>
      <c r="F325" s="46" t="s">
        <v>65</v>
      </c>
      <c r="G325" s="46" t="s">
        <v>66</v>
      </c>
      <c r="H325" s="157" t="s">
        <v>15</v>
      </c>
    </row>
    <row r="326" spans="1:8" ht="15.75">
      <c r="A326" s="43">
        <v>1</v>
      </c>
      <c r="B326" s="179" t="s">
        <v>147</v>
      </c>
      <c r="C326" s="43">
        <v>0</v>
      </c>
      <c r="D326" s="180">
        <v>0</v>
      </c>
      <c r="E326" s="181">
        <v>0</v>
      </c>
      <c r="F326" s="181">
        <v>0</v>
      </c>
      <c r="G326" s="181">
        <f>101+3382</f>
        <v>3483</v>
      </c>
      <c r="H326" s="43">
        <v>0</v>
      </c>
    </row>
    <row r="327" spans="1:8" ht="15.75">
      <c r="A327" s="21">
        <v>2</v>
      </c>
      <c r="B327" s="179" t="s">
        <v>160</v>
      </c>
      <c r="C327" s="43">
        <v>0</v>
      </c>
      <c r="D327" s="180">
        <v>0</v>
      </c>
      <c r="E327" s="181">
        <v>0</v>
      </c>
      <c r="F327" s="181">
        <v>0</v>
      </c>
      <c r="G327" s="181">
        <v>231.112</v>
      </c>
      <c r="H327" s="43">
        <v>0</v>
      </c>
    </row>
    <row r="328" spans="1:8" ht="15.75">
      <c r="A328" s="43">
        <v>3</v>
      </c>
      <c r="B328" s="179" t="s">
        <v>153</v>
      </c>
      <c r="C328" s="43">
        <v>0</v>
      </c>
      <c r="D328" s="180">
        <v>0</v>
      </c>
      <c r="E328" s="181">
        <v>0</v>
      </c>
      <c r="F328" s="181">
        <v>0</v>
      </c>
      <c r="G328" s="181">
        <v>2495.658</v>
      </c>
      <c r="H328" s="43">
        <v>0</v>
      </c>
    </row>
    <row r="329" spans="1:8" ht="15.75">
      <c r="A329" s="21">
        <v>4</v>
      </c>
      <c r="B329" s="179" t="s">
        <v>148</v>
      </c>
      <c r="C329" s="43">
        <v>0</v>
      </c>
      <c r="D329" s="180">
        <v>0</v>
      </c>
      <c r="E329" s="181">
        <v>0</v>
      </c>
      <c r="F329" s="181">
        <v>0</v>
      </c>
      <c r="G329" s="181">
        <v>256</v>
      </c>
      <c r="H329" s="43">
        <v>0</v>
      </c>
    </row>
    <row r="330" spans="1:8" ht="15.75">
      <c r="A330" s="43">
        <v>5</v>
      </c>
      <c r="B330" s="179" t="s">
        <v>171</v>
      </c>
      <c r="C330" s="43">
        <v>0</v>
      </c>
      <c r="D330" s="180">
        <v>0</v>
      </c>
      <c r="E330" s="181">
        <v>0</v>
      </c>
      <c r="F330" s="181">
        <v>0</v>
      </c>
      <c r="G330" s="181">
        <v>4000</v>
      </c>
      <c r="H330" s="43">
        <v>0</v>
      </c>
    </row>
    <row r="331" spans="1:8" ht="15.75">
      <c r="A331" s="21">
        <v>6</v>
      </c>
      <c r="B331" s="179" t="s">
        <v>167</v>
      </c>
      <c r="C331" s="43">
        <v>0</v>
      </c>
      <c r="D331" s="180">
        <v>0</v>
      </c>
      <c r="E331" s="181">
        <v>0</v>
      </c>
      <c r="F331" s="181">
        <v>0</v>
      </c>
      <c r="G331" s="181">
        <v>254</v>
      </c>
      <c r="H331" s="43">
        <v>0</v>
      </c>
    </row>
    <row r="332" spans="1:8" ht="15.75">
      <c r="A332" s="43">
        <v>7</v>
      </c>
      <c r="B332" s="179" t="s">
        <v>142</v>
      </c>
      <c r="C332" s="43">
        <v>0</v>
      </c>
      <c r="D332" s="180">
        <v>0</v>
      </c>
      <c r="E332" s="181">
        <v>0</v>
      </c>
      <c r="F332" s="181">
        <v>0</v>
      </c>
      <c r="G332" s="181">
        <v>35</v>
      </c>
      <c r="H332" s="43">
        <v>0</v>
      </c>
    </row>
    <row r="333" spans="1:8" ht="15.75">
      <c r="A333" s="21">
        <v>8</v>
      </c>
      <c r="B333" s="179" t="s">
        <v>214</v>
      </c>
      <c r="C333" s="43">
        <v>0</v>
      </c>
      <c r="D333" s="180">
        <v>0</v>
      </c>
      <c r="E333" s="181">
        <v>0</v>
      </c>
      <c r="F333" s="181">
        <v>0</v>
      </c>
      <c r="G333" s="181">
        <v>16461.634</v>
      </c>
      <c r="H333" s="43">
        <v>0</v>
      </c>
    </row>
    <row r="334" spans="1:8" ht="15.75">
      <c r="A334" s="196"/>
      <c r="B334" s="182" t="s">
        <v>143</v>
      </c>
      <c r="C334" s="74">
        <f aca="true" t="shared" si="21" ref="C334:H334">SUM(C326:C333)</f>
        <v>0</v>
      </c>
      <c r="D334" s="197">
        <f t="shared" si="21"/>
        <v>0</v>
      </c>
      <c r="E334" s="195">
        <f t="shared" si="21"/>
        <v>0</v>
      </c>
      <c r="F334" s="195">
        <f t="shared" si="21"/>
        <v>0</v>
      </c>
      <c r="G334" s="74">
        <f t="shared" si="21"/>
        <v>27216.404</v>
      </c>
      <c r="H334" s="74">
        <f t="shared" si="21"/>
        <v>0</v>
      </c>
    </row>
    <row r="336" spans="1:8" ht="22.5">
      <c r="A336" s="75"/>
      <c r="B336" s="184"/>
      <c r="C336" s="89"/>
      <c r="D336" s="131" t="s">
        <v>223</v>
      </c>
      <c r="E336" s="187"/>
      <c r="F336" s="187"/>
      <c r="G336" s="187"/>
      <c r="H336" s="89"/>
    </row>
    <row r="337" spans="1:8" ht="31.5">
      <c r="A337" s="36" t="s">
        <v>3</v>
      </c>
      <c r="B337" s="38" t="s">
        <v>62</v>
      </c>
      <c r="C337" s="38" t="s">
        <v>5</v>
      </c>
      <c r="D337" s="39" t="s">
        <v>6</v>
      </c>
      <c r="E337" s="40" t="s">
        <v>7</v>
      </c>
      <c r="F337" s="41" t="s">
        <v>8</v>
      </c>
      <c r="G337" s="41" t="s">
        <v>9</v>
      </c>
      <c r="H337" s="38" t="s">
        <v>63</v>
      </c>
    </row>
    <row r="338" spans="1:8" ht="15.75">
      <c r="A338" s="21"/>
      <c r="B338" s="178"/>
      <c r="C338" s="54"/>
      <c r="D338" s="45" t="s">
        <v>11</v>
      </c>
      <c r="E338" s="46" t="s">
        <v>64</v>
      </c>
      <c r="F338" s="46" t="s">
        <v>65</v>
      </c>
      <c r="G338" s="46" t="s">
        <v>66</v>
      </c>
      <c r="H338" s="157" t="s">
        <v>15</v>
      </c>
    </row>
    <row r="339" spans="1:8" ht="15.75">
      <c r="A339" s="196">
        <v>1</v>
      </c>
      <c r="B339" s="179" t="s">
        <v>152</v>
      </c>
      <c r="C339" s="43">
        <v>0</v>
      </c>
      <c r="D339" s="180">
        <v>0</v>
      </c>
      <c r="E339" s="181">
        <v>0</v>
      </c>
      <c r="F339" s="181">
        <v>0</v>
      </c>
      <c r="G339" s="181">
        <v>5225</v>
      </c>
      <c r="H339" s="43">
        <v>0</v>
      </c>
    </row>
    <row r="340" spans="1:8" ht="15.75">
      <c r="A340" s="196">
        <v>2</v>
      </c>
      <c r="B340" s="179" t="s">
        <v>169</v>
      </c>
      <c r="C340" s="43">
        <v>0</v>
      </c>
      <c r="D340" s="180">
        <v>0</v>
      </c>
      <c r="E340" s="181">
        <v>0</v>
      </c>
      <c r="F340" s="181">
        <v>0</v>
      </c>
      <c r="G340" s="181">
        <v>10620.113</v>
      </c>
      <c r="H340" s="43">
        <v>0</v>
      </c>
    </row>
    <row r="341" spans="1:8" ht="15.75">
      <c r="A341" s="196">
        <v>3</v>
      </c>
      <c r="B341" s="179" t="s">
        <v>165</v>
      </c>
      <c r="C341" s="43">
        <v>0</v>
      </c>
      <c r="D341" s="180">
        <v>0</v>
      </c>
      <c r="E341" s="181">
        <v>0</v>
      </c>
      <c r="F341" s="181">
        <v>0</v>
      </c>
      <c r="G341" s="181">
        <v>3014.203</v>
      </c>
      <c r="H341" s="43">
        <v>0</v>
      </c>
    </row>
    <row r="342" spans="1:8" ht="15.75">
      <c r="A342" s="196">
        <v>4</v>
      </c>
      <c r="B342" s="179" t="s">
        <v>211</v>
      </c>
      <c r="C342" s="43">
        <v>0</v>
      </c>
      <c r="D342" s="180">
        <v>0</v>
      </c>
      <c r="E342" s="181">
        <v>0</v>
      </c>
      <c r="F342" s="181">
        <v>0</v>
      </c>
      <c r="G342" s="181">
        <v>11229.92</v>
      </c>
      <c r="H342" s="43">
        <v>0</v>
      </c>
    </row>
    <row r="343" spans="1:8" ht="15.75">
      <c r="A343" s="196">
        <v>5</v>
      </c>
      <c r="B343" s="179" t="s">
        <v>147</v>
      </c>
      <c r="C343" s="43">
        <v>0</v>
      </c>
      <c r="D343" s="180">
        <v>0</v>
      </c>
      <c r="E343" s="181">
        <v>0</v>
      </c>
      <c r="F343" s="181">
        <v>0</v>
      </c>
      <c r="G343" s="181">
        <v>2750</v>
      </c>
      <c r="H343" s="43">
        <v>0</v>
      </c>
    </row>
    <row r="344" spans="1:8" ht="15.75">
      <c r="A344" s="196">
        <v>6</v>
      </c>
      <c r="B344" s="179" t="s">
        <v>216</v>
      </c>
      <c r="C344" s="43">
        <v>0</v>
      </c>
      <c r="D344" s="180">
        <v>0</v>
      </c>
      <c r="E344" s="181">
        <v>0</v>
      </c>
      <c r="F344" s="181">
        <v>0</v>
      </c>
      <c r="G344" s="181">
        <v>3332.379</v>
      </c>
      <c r="H344" s="43">
        <v>0</v>
      </c>
    </row>
    <row r="345" spans="1:8" ht="15.75">
      <c r="A345" s="196">
        <v>7</v>
      </c>
      <c r="B345" s="179" t="s">
        <v>160</v>
      </c>
      <c r="C345" s="43">
        <v>0</v>
      </c>
      <c r="D345" s="180">
        <v>0</v>
      </c>
      <c r="E345" s="181">
        <v>0</v>
      </c>
      <c r="F345" s="181">
        <v>0</v>
      </c>
      <c r="G345" s="181">
        <v>3850.338</v>
      </c>
      <c r="H345" s="43">
        <v>0</v>
      </c>
    </row>
    <row r="346" spans="1:8" ht="15.75">
      <c r="A346" s="196">
        <v>8</v>
      </c>
      <c r="B346" s="179" t="s">
        <v>175</v>
      </c>
      <c r="C346" s="43">
        <v>0</v>
      </c>
      <c r="D346" s="180">
        <v>0</v>
      </c>
      <c r="E346" s="181">
        <v>0</v>
      </c>
      <c r="F346" s="181">
        <v>0</v>
      </c>
      <c r="G346" s="181">
        <v>4563.049</v>
      </c>
      <c r="H346" s="43">
        <v>0</v>
      </c>
    </row>
    <row r="347" spans="1:8" ht="15.75">
      <c r="A347" s="196">
        <v>9</v>
      </c>
      <c r="B347" s="179" t="s">
        <v>173</v>
      </c>
      <c r="C347" s="43">
        <v>0</v>
      </c>
      <c r="D347" s="180">
        <v>0</v>
      </c>
      <c r="E347" s="181">
        <v>0</v>
      </c>
      <c r="F347" s="181">
        <v>0</v>
      </c>
      <c r="G347" s="181">
        <v>13159</v>
      </c>
      <c r="H347" s="43">
        <v>0</v>
      </c>
    </row>
    <row r="348" spans="1:8" ht="15.75">
      <c r="A348" s="196">
        <v>10</v>
      </c>
      <c r="B348" s="179" t="s">
        <v>148</v>
      </c>
      <c r="C348" s="43">
        <v>0</v>
      </c>
      <c r="D348" s="180">
        <v>0</v>
      </c>
      <c r="E348" s="181">
        <v>0</v>
      </c>
      <c r="F348" s="181">
        <v>0</v>
      </c>
      <c r="G348" s="181">
        <v>6307.79</v>
      </c>
      <c r="H348" s="43">
        <v>0</v>
      </c>
    </row>
    <row r="349" spans="1:8" ht="15.75">
      <c r="A349" s="196">
        <v>11</v>
      </c>
      <c r="B349" s="179" t="s">
        <v>145</v>
      </c>
      <c r="C349" s="43">
        <v>0</v>
      </c>
      <c r="D349" s="180">
        <v>0</v>
      </c>
      <c r="E349" s="181">
        <v>0</v>
      </c>
      <c r="F349" s="181">
        <v>0</v>
      </c>
      <c r="G349" s="181">
        <v>18181.728</v>
      </c>
      <c r="H349" s="43">
        <v>0</v>
      </c>
    </row>
    <row r="350" spans="1:8" ht="15.75">
      <c r="A350" s="196">
        <v>12</v>
      </c>
      <c r="B350" s="179" t="s">
        <v>149</v>
      </c>
      <c r="C350" s="43">
        <v>0</v>
      </c>
      <c r="D350" s="180">
        <v>0</v>
      </c>
      <c r="E350" s="181">
        <v>0</v>
      </c>
      <c r="F350" s="181">
        <v>0</v>
      </c>
      <c r="G350" s="181">
        <v>17209.928</v>
      </c>
      <c r="H350" s="43">
        <v>0</v>
      </c>
    </row>
    <row r="351" spans="1:8" ht="15.75">
      <c r="A351" s="196">
        <v>13</v>
      </c>
      <c r="B351" s="179" t="s">
        <v>217</v>
      </c>
      <c r="C351" s="43">
        <v>0</v>
      </c>
      <c r="D351" s="180">
        <v>0</v>
      </c>
      <c r="E351" s="181">
        <v>0</v>
      </c>
      <c r="F351" s="181">
        <v>0</v>
      </c>
      <c r="G351" s="181">
        <v>7700.05</v>
      </c>
      <c r="H351" s="43">
        <v>0</v>
      </c>
    </row>
    <row r="352" spans="1:8" ht="15.75">
      <c r="A352" s="196">
        <v>14</v>
      </c>
      <c r="B352" s="179" t="s">
        <v>164</v>
      </c>
      <c r="C352" s="43">
        <v>0</v>
      </c>
      <c r="D352" s="180">
        <v>0</v>
      </c>
      <c r="E352" s="181">
        <v>0</v>
      </c>
      <c r="F352" s="181">
        <v>0</v>
      </c>
      <c r="G352" s="181">
        <v>2018.812</v>
      </c>
      <c r="H352" s="43">
        <v>0</v>
      </c>
    </row>
    <row r="353" spans="1:8" ht="15.75">
      <c r="A353" s="196">
        <v>15</v>
      </c>
      <c r="B353" s="179" t="s">
        <v>146</v>
      </c>
      <c r="C353" s="43">
        <v>0</v>
      </c>
      <c r="D353" s="180">
        <v>0</v>
      </c>
      <c r="E353" s="181">
        <v>0</v>
      </c>
      <c r="F353" s="181">
        <v>0</v>
      </c>
      <c r="G353" s="181">
        <v>69016.5</v>
      </c>
      <c r="H353" s="43">
        <v>0</v>
      </c>
    </row>
    <row r="354" spans="1:8" ht="15.75">
      <c r="A354" s="196">
        <v>16</v>
      </c>
      <c r="B354" s="179" t="s">
        <v>170</v>
      </c>
      <c r="C354" s="43">
        <v>0</v>
      </c>
      <c r="D354" s="180">
        <v>0</v>
      </c>
      <c r="E354" s="181">
        <v>0</v>
      </c>
      <c r="F354" s="181">
        <v>0</v>
      </c>
      <c r="G354" s="181">
        <v>9899</v>
      </c>
      <c r="H354" s="43">
        <v>0</v>
      </c>
    </row>
    <row r="355" spans="1:8" ht="15.75">
      <c r="A355" s="196">
        <v>17</v>
      </c>
      <c r="B355" s="179" t="s">
        <v>176</v>
      </c>
      <c r="C355" s="43">
        <v>0</v>
      </c>
      <c r="D355" s="180">
        <v>0</v>
      </c>
      <c r="E355" s="181">
        <v>0</v>
      </c>
      <c r="F355" s="181">
        <v>0</v>
      </c>
      <c r="G355" s="181">
        <v>17898.3</v>
      </c>
      <c r="H355" s="43">
        <v>0</v>
      </c>
    </row>
    <row r="356" spans="1:8" ht="15.75">
      <c r="A356" s="196">
        <v>18</v>
      </c>
      <c r="B356" s="179" t="s">
        <v>177</v>
      </c>
      <c r="C356" s="43">
        <v>0</v>
      </c>
      <c r="D356" s="180">
        <v>0</v>
      </c>
      <c r="E356" s="181">
        <v>0</v>
      </c>
      <c r="F356" s="181">
        <v>0</v>
      </c>
      <c r="G356" s="181">
        <v>57194.362</v>
      </c>
      <c r="H356" s="43">
        <v>0</v>
      </c>
    </row>
    <row r="357" spans="1:8" ht="15.75">
      <c r="A357" s="196">
        <v>19</v>
      </c>
      <c r="B357" s="179" t="s">
        <v>221</v>
      </c>
      <c r="C357" s="43">
        <v>0</v>
      </c>
      <c r="D357" s="180">
        <v>0</v>
      </c>
      <c r="E357" s="181">
        <v>0</v>
      </c>
      <c r="F357" s="181">
        <v>0</v>
      </c>
      <c r="G357" s="181">
        <v>8660</v>
      </c>
      <c r="H357" s="43">
        <v>0</v>
      </c>
    </row>
    <row r="358" spans="1:8" ht="15.75">
      <c r="A358" s="196">
        <v>20</v>
      </c>
      <c r="B358" s="179" t="s">
        <v>178</v>
      </c>
      <c r="C358" s="43">
        <v>0</v>
      </c>
      <c r="D358" s="180">
        <v>0</v>
      </c>
      <c r="E358" s="181">
        <v>0</v>
      </c>
      <c r="F358" s="181">
        <v>0</v>
      </c>
      <c r="G358" s="181">
        <v>3641</v>
      </c>
      <c r="H358" s="43">
        <v>0</v>
      </c>
    </row>
    <row r="359" spans="1:8" ht="15.75">
      <c r="A359" s="196">
        <v>21</v>
      </c>
      <c r="B359" s="179" t="s">
        <v>142</v>
      </c>
      <c r="C359" s="43">
        <v>0</v>
      </c>
      <c r="D359" s="180">
        <v>0</v>
      </c>
      <c r="E359" s="181">
        <v>0</v>
      </c>
      <c r="F359" s="181">
        <v>0</v>
      </c>
      <c r="G359" s="181">
        <f>4515+12819.593</f>
        <v>17334.593</v>
      </c>
      <c r="H359" s="43">
        <v>0</v>
      </c>
    </row>
    <row r="360" spans="1:8" ht="15.75">
      <c r="A360" s="196">
        <v>22</v>
      </c>
      <c r="B360" s="179" t="s">
        <v>159</v>
      </c>
      <c r="C360" s="43">
        <v>0</v>
      </c>
      <c r="D360" s="180">
        <v>0</v>
      </c>
      <c r="E360" s="181">
        <v>0</v>
      </c>
      <c r="F360" s="181">
        <v>0</v>
      </c>
      <c r="G360" s="181">
        <v>3101.529</v>
      </c>
      <c r="H360" s="43">
        <v>0</v>
      </c>
    </row>
    <row r="361" spans="1:8" ht="15.75">
      <c r="A361" s="196">
        <v>23</v>
      </c>
      <c r="B361" s="179" t="s">
        <v>214</v>
      </c>
      <c r="C361" s="43">
        <v>0</v>
      </c>
      <c r="D361" s="180">
        <v>0</v>
      </c>
      <c r="E361" s="181">
        <v>0</v>
      </c>
      <c r="F361" s="181">
        <v>0</v>
      </c>
      <c r="G361" s="181">
        <v>8033.706</v>
      </c>
      <c r="H361" s="43">
        <v>0</v>
      </c>
    </row>
    <row r="362" spans="1:8" ht="15.75">
      <c r="A362" s="196"/>
      <c r="B362" s="182" t="s">
        <v>143</v>
      </c>
      <c r="C362" s="74">
        <f aca="true" t="shared" si="22" ref="C362:H362">SUM(C339:C361)</f>
        <v>0</v>
      </c>
      <c r="D362" s="183">
        <f t="shared" si="22"/>
        <v>0</v>
      </c>
      <c r="E362" s="195">
        <f t="shared" si="22"/>
        <v>0</v>
      </c>
      <c r="F362" s="195">
        <f t="shared" si="22"/>
        <v>0</v>
      </c>
      <c r="G362" s="195">
        <f t="shared" si="22"/>
        <v>303941.3</v>
      </c>
      <c r="H362" s="74">
        <f t="shared" si="22"/>
        <v>0</v>
      </c>
    </row>
    <row r="363" spans="1:8" ht="15">
      <c r="A363" s="75"/>
      <c r="B363" s="198"/>
      <c r="C363" s="90"/>
      <c r="D363" s="91"/>
      <c r="E363" s="92"/>
      <c r="F363" s="92"/>
      <c r="G363" s="92"/>
      <c r="H363" s="90"/>
    </row>
    <row r="364" spans="1:8" ht="15.75">
      <c r="A364" s="21"/>
      <c r="B364" s="199" t="s">
        <v>180</v>
      </c>
      <c r="C364" s="74">
        <f>+C8+C31+C39+C47+C57+C78+C362+C116+C142+C153+C179+C221+C228+C334+C243+C257+C266+C273+C279+C298+C306+C312+C321</f>
        <v>8821</v>
      </c>
      <c r="D364" s="183">
        <f>+D8+D31+D39+D47+D57+D78+D362+D116+D142+D153+D179+D221+D228+D334+D243+D257+D266+D273+D279+D298+D306+D312+D321+0.01</f>
        <v>59831.194800000005</v>
      </c>
      <c r="E364" s="195">
        <f>+E8+E31+E39+E47+E57+E78+E362+E116+E142+E153+E179+E221+E228+E334+E243+E257+E266+E273+E279+E298+E306+E312+E321</f>
        <v>183687.875</v>
      </c>
      <c r="F364" s="74">
        <f>+F8+F31+F39+F47+F57+F78+F362+F116+F142+F153+F179+F221+F228+F334+F243+F257+F266+F273+F279+F298+F306+F312+F321</f>
        <v>247718.04200000004</v>
      </c>
      <c r="G364" s="74">
        <f>+G8+G31+G39+G47+G57+G78+G362+G116+G142+G153+G179+G221+G228+G334+G243+G257+G266+G273+G279+G298+G306+G312+G321</f>
        <v>3525510.0530000003</v>
      </c>
      <c r="H364" s="74">
        <f>+H8+H31+H39+H47+H57+H78+H362+H116+H142+H153+H179+H221+H228+H334+H243+H257+H266+H273+H279+H298+H306+H312+H321</f>
        <v>259968</v>
      </c>
    </row>
    <row r="365" spans="1:8" ht="15">
      <c r="A365" s="75"/>
      <c r="B365" s="198"/>
      <c r="C365" s="90"/>
      <c r="D365" s="91"/>
      <c r="E365" s="92"/>
      <c r="F365" s="92"/>
      <c r="G365" s="92"/>
      <c r="H365" s="90"/>
    </row>
    <row r="366" spans="1:8" ht="15">
      <c r="A366" s="75"/>
      <c r="B366" s="198"/>
      <c r="C366" s="90"/>
      <c r="D366" s="91"/>
      <c r="E366" s="92"/>
      <c r="F366" s="92"/>
      <c r="G366" s="92"/>
      <c r="H366" s="90"/>
    </row>
    <row r="367" spans="1:8" ht="15">
      <c r="A367" s="75"/>
      <c r="B367" s="198"/>
      <c r="C367" s="90"/>
      <c r="D367" s="91"/>
      <c r="E367" s="92"/>
      <c r="F367" s="92"/>
      <c r="G367" s="92"/>
      <c r="H367" s="90"/>
    </row>
    <row r="368" spans="1:8" ht="15">
      <c r="A368" s="75"/>
      <c r="B368" s="198"/>
      <c r="C368" s="90"/>
      <c r="D368" s="91"/>
      <c r="E368" s="92"/>
      <c r="F368" s="92"/>
      <c r="G368" s="92"/>
      <c r="H368" s="90"/>
    </row>
    <row r="369" spans="1:8" ht="15">
      <c r="A369" s="75"/>
      <c r="B369" s="198"/>
      <c r="C369" s="90"/>
      <c r="D369" s="91"/>
      <c r="E369" s="92"/>
      <c r="F369" s="92"/>
      <c r="G369" s="92"/>
      <c r="H369" s="90"/>
    </row>
    <row r="370" spans="1:8" ht="15">
      <c r="A370" s="75"/>
      <c r="B370" s="198"/>
      <c r="C370" s="90"/>
      <c r="D370" s="91"/>
      <c r="E370" s="92"/>
      <c r="F370" s="92"/>
      <c r="G370" s="92"/>
      <c r="H370" s="90"/>
    </row>
    <row r="371" spans="1:8" ht="15">
      <c r="A371" s="75"/>
      <c r="B371" s="198"/>
      <c r="C371" s="90"/>
      <c r="D371" s="91"/>
      <c r="E371" s="92"/>
      <c r="F371" s="92"/>
      <c r="G371" s="92"/>
      <c r="H371" s="90"/>
    </row>
    <row r="372" spans="1:8" ht="15">
      <c r="A372" s="75"/>
      <c r="B372" s="198"/>
      <c r="C372" s="90"/>
      <c r="D372" s="91"/>
      <c r="E372" s="92"/>
      <c r="F372" s="92"/>
      <c r="G372" s="92"/>
      <c r="H372" s="90"/>
    </row>
    <row r="373" spans="1:8" ht="15">
      <c r="A373" s="75"/>
      <c r="B373" s="198"/>
      <c r="C373" s="90"/>
      <c r="D373" s="91"/>
      <c r="E373" s="92"/>
      <c r="F373" s="92"/>
      <c r="G373" s="92"/>
      <c r="H373" s="90"/>
    </row>
    <row r="374" spans="1:8" ht="15">
      <c r="A374" s="75"/>
      <c r="B374" s="198"/>
      <c r="C374" s="90"/>
      <c r="D374" s="91"/>
      <c r="E374" s="92"/>
      <c r="F374" s="92"/>
      <c r="G374" s="92"/>
      <c r="H374" s="90"/>
    </row>
    <row r="375" spans="1:8" ht="15">
      <c r="A375" s="75"/>
      <c r="B375" s="198"/>
      <c r="C375" s="90"/>
      <c r="D375" s="91"/>
      <c r="E375" s="92"/>
      <c r="F375" s="92"/>
      <c r="G375" s="92"/>
      <c r="H375" s="90"/>
    </row>
    <row r="376" spans="1:8" ht="15">
      <c r="A376" s="75"/>
      <c r="B376" s="198"/>
      <c r="C376" s="90"/>
      <c r="D376" s="91"/>
      <c r="E376" s="92"/>
      <c r="F376" s="92"/>
      <c r="G376" s="92"/>
      <c r="H376" s="90"/>
    </row>
    <row r="377" spans="1:8" ht="15">
      <c r="A377" s="75"/>
      <c r="B377" s="198"/>
      <c r="C377" s="90"/>
      <c r="D377" s="91"/>
      <c r="E377" s="92"/>
      <c r="F377" s="92"/>
      <c r="G377" s="92"/>
      <c r="H377" s="90"/>
    </row>
    <row r="378" spans="1:8" ht="15">
      <c r="A378" s="75"/>
      <c r="B378" s="198"/>
      <c r="C378" s="90"/>
      <c r="D378" s="91"/>
      <c r="E378" s="92"/>
      <c r="F378" s="92"/>
      <c r="G378" s="92"/>
      <c r="H378" s="90"/>
    </row>
    <row r="379" spans="1:8" ht="15">
      <c r="A379" s="75"/>
      <c r="B379" s="198"/>
      <c r="C379" s="90"/>
      <c r="D379" s="91"/>
      <c r="E379" s="92"/>
      <c r="F379" s="92"/>
      <c r="G379" s="92"/>
      <c r="H379" s="90"/>
    </row>
    <row r="380" spans="1:8" ht="15">
      <c r="A380" s="75"/>
      <c r="B380" s="198"/>
      <c r="C380" s="90"/>
      <c r="D380" s="91"/>
      <c r="E380" s="92"/>
      <c r="F380" s="92"/>
      <c r="G380" s="92"/>
      <c r="H380" s="90"/>
    </row>
    <row r="381" spans="1:8" ht="15">
      <c r="A381" s="75"/>
      <c r="B381" s="198"/>
      <c r="C381" s="90"/>
      <c r="D381" s="91"/>
      <c r="E381" s="92"/>
      <c r="F381" s="92"/>
      <c r="G381" s="92"/>
      <c r="H381" s="90"/>
    </row>
    <row r="382" spans="1:8" ht="15">
      <c r="A382" s="75"/>
      <c r="B382" s="198"/>
      <c r="C382" s="90"/>
      <c r="D382" s="91"/>
      <c r="E382" s="92"/>
      <c r="F382" s="92"/>
      <c r="G382" s="92"/>
      <c r="H382" s="90"/>
    </row>
    <row r="383" spans="1:8" ht="15">
      <c r="A383" s="75"/>
      <c r="B383" s="198"/>
      <c r="C383" s="90"/>
      <c r="D383" s="91"/>
      <c r="E383" s="92"/>
      <c r="F383" s="92"/>
      <c r="G383" s="92"/>
      <c r="H383" s="90"/>
    </row>
    <row r="384" spans="1:8" ht="15">
      <c r="A384" s="75"/>
      <c r="B384" s="198"/>
      <c r="C384" s="90"/>
      <c r="D384" s="91"/>
      <c r="E384" s="92"/>
      <c r="F384" s="92"/>
      <c r="G384" s="92"/>
      <c r="H384" s="90"/>
    </row>
    <row r="385" spans="1:8" ht="15">
      <c r="A385" s="75"/>
      <c r="B385" s="198"/>
      <c r="C385" s="90"/>
      <c r="D385" s="91"/>
      <c r="E385" s="92"/>
      <c r="F385" s="92"/>
      <c r="G385" s="92"/>
      <c r="H385" s="90"/>
    </row>
    <row r="386" spans="1:8" ht="15">
      <c r="A386" s="75"/>
      <c r="B386" s="198"/>
      <c r="C386" s="90"/>
      <c r="D386" s="91"/>
      <c r="E386" s="92"/>
      <c r="F386" s="92"/>
      <c r="G386" s="92"/>
      <c r="H386" s="90"/>
    </row>
    <row r="387" spans="1:8" ht="15">
      <c r="A387" s="75"/>
      <c r="B387" s="198"/>
      <c r="C387" s="90"/>
      <c r="D387" s="91"/>
      <c r="E387" s="92"/>
      <c r="F387" s="92"/>
      <c r="G387" s="92"/>
      <c r="H387" s="90"/>
    </row>
    <row r="388" spans="1:8" ht="15">
      <c r="A388" s="75"/>
      <c r="B388" s="198"/>
      <c r="C388" s="90"/>
      <c r="D388" s="91"/>
      <c r="E388" s="92"/>
      <c r="F388" s="92"/>
      <c r="G388" s="92"/>
      <c r="H388" s="90"/>
    </row>
    <row r="389" spans="1:8" ht="15">
      <c r="A389" s="75"/>
      <c r="B389" s="198"/>
      <c r="C389" s="90"/>
      <c r="D389" s="91"/>
      <c r="E389" s="92"/>
      <c r="F389" s="92"/>
      <c r="G389" s="92"/>
      <c r="H389" s="90"/>
    </row>
    <row r="390" spans="1:8" ht="15">
      <c r="A390" s="75"/>
      <c r="B390" s="198"/>
      <c r="C390" s="90"/>
      <c r="D390" s="91"/>
      <c r="E390" s="92"/>
      <c r="F390" s="92"/>
      <c r="G390" s="92"/>
      <c r="H390" s="90"/>
    </row>
    <row r="391" spans="1:8" ht="15">
      <c r="A391" s="75"/>
      <c r="B391" s="198"/>
      <c r="C391" s="90"/>
      <c r="D391" s="91"/>
      <c r="E391" s="92"/>
      <c r="F391" s="92"/>
      <c r="G391" s="92"/>
      <c r="H391" s="90"/>
    </row>
    <row r="392" spans="1:8" ht="15">
      <c r="A392" s="75"/>
      <c r="B392" s="198"/>
      <c r="C392" s="90"/>
      <c r="D392" s="91"/>
      <c r="E392" s="92"/>
      <c r="F392" s="92"/>
      <c r="G392" s="92"/>
      <c r="H392" s="90"/>
    </row>
    <row r="393" spans="1:8" ht="15">
      <c r="A393" s="75"/>
      <c r="B393" s="198"/>
      <c r="C393" s="90"/>
      <c r="D393" s="91"/>
      <c r="E393" s="92"/>
      <c r="F393" s="92"/>
      <c r="G393" s="92"/>
      <c r="H393" s="90"/>
    </row>
    <row r="394" spans="1:8" ht="15">
      <c r="A394" s="75"/>
      <c r="B394" s="198"/>
      <c r="C394" s="90"/>
      <c r="D394" s="91"/>
      <c r="E394" s="92"/>
      <c r="F394" s="92"/>
      <c r="G394" s="92"/>
      <c r="H394" s="90"/>
    </row>
    <row r="395" spans="1:8" ht="15">
      <c r="A395" s="75"/>
      <c r="B395" s="198"/>
      <c r="C395" s="90"/>
      <c r="D395" s="91"/>
      <c r="E395" s="92"/>
      <c r="F395" s="92"/>
      <c r="G395" s="92"/>
      <c r="H395" s="90"/>
    </row>
    <row r="396" spans="1:8" ht="15">
      <c r="A396" s="75"/>
      <c r="B396" s="198"/>
      <c r="C396" s="90"/>
      <c r="D396" s="91"/>
      <c r="E396" s="92"/>
      <c r="F396" s="92"/>
      <c r="G396" s="92"/>
      <c r="H396" s="90"/>
    </row>
    <row r="397" spans="1:8" ht="15">
      <c r="A397" s="75"/>
      <c r="B397" s="198"/>
      <c r="C397" s="90"/>
      <c r="D397" s="91"/>
      <c r="E397" s="92"/>
      <c r="F397" s="92"/>
      <c r="G397" s="92"/>
      <c r="H397" s="90"/>
    </row>
    <row r="398" spans="1:8" ht="15">
      <c r="A398" s="75"/>
      <c r="B398" s="198"/>
      <c r="C398" s="90"/>
      <c r="D398" s="91"/>
      <c r="E398" s="92"/>
      <c r="F398" s="92"/>
      <c r="G398" s="92"/>
      <c r="H398" s="90"/>
    </row>
    <row r="399" spans="1:8" ht="15">
      <c r="A399" s="75"/>
      <c r="B399" s="198"/>
      <c r="C399" s="90"/>
      <c r="D399" s="91"/>
      <c r="E399" s="92"/>
      <c r="F399" s="92"/>
      <c r="G399" s="92"/>
      <c r="H399" s="90"/>
    </row>
    <row r="400" spans="1:8" ht="15">
      <c r="A400" s="75"/>
      <c r="B400" s="198"/>
      <c r="C400" s="90"/>
      <c r="D400" s="91"/>
      <c r="E400" s="92"/>
      <c r="F400" s="92"/>
      <c r="G400" s="92"/>
      <c r="H400" s="90"/>
    </row>
    <row r="401" spans="1:8" ht="15">
      <c r="A401" s="75"/>
      <c r="B401" s="198"/>
      <c r="C401" s="90"/>
      <c r="D401" s="91"/>
      <c r="E401" s="92"/>
      <c r="F401" s="92"/>
      <c r="G401" s="92"/>
      <c r="H401" s="90"/>
    </row>
    <row r="402" spans="1:8" ht="15">
      <c r="A402" s="75"/>
      <c r="B402" s="198"/>
      <c r="C402" s="90"/>
      <c r="D402" s="91"/>
      <c r="E402" s="92"/>
      <c r="F402" s="92"/>
      <c r="G402" s="92"/>
      <c r="H402" s="90"/>
    </row>
    <row r="403" spans="1:8" ht="15">
      <c r="A403" s="75"/>
      <c r="B403" s="198"/>
      <c r="C403" s="90"/>
      <c r="D403" s="91"/>
      <c r="E403" s="92"/>
      <c r="F403" s="92"/>
      <c r="G403" s="92"/>
      <c r="H403" s="90"/>
    </row>
    <row r="404" spans="1:8" ht="15">
      <c r="A404" s="75"/>
      <c r="B404" s="198"/>
      <c r="C404" s="90"/>
      <c r="D404" s="91"/>
      <c r="E404" s="92"/>
      <c r="F404" s="92"/>
      <c r="G404" s="92"/>
      <c r="H404" s="90"/>
    </row>
    <row r="405" spans="1:8" ht="15">
      <c r="A405" s="75"/>
      <c r="B405" s="198"/>
      <c r="C405" s="90"/>
      <c r="D405" s="91"/>
      <c r="E405" s="92"/>
      <c r="F405" s="92"/>
      <c r="G405" s="92"/>
      <c r="H405" s="90"/>
    </row>
    <row r="406" spans="1:8" ht="15">
      <c r="A406" s="75"/>
      <c r="B406" s="198"/>
      <c r="C406" s="90"/>
      <c r="D406" s="91"/>
      <c r="E406" s="92"/>
      <c r="F406" s="92"/>
      <c r="G406" s="92"/>
      <c r="H406" s="90"/>
    </row>
    <row r="407" spans="1:8" ht="15">
      <c r="A407" s="75"/>
      <c r="B407" s="198"/>
      <c r="C407" s="90"/>
      <c r="D407" s="91"/>
      <c r="E407" s="92"/>
      <c r="F407" s="92"/>
      <c r="G407" s="92"/>
      <c r="H407" s="90"/>
    </row>
    <row r="408" spans="1:8" ht="15">
      <c r="A408" s="75"/>
      <c r="B408" s="198"/>
      <c r="C408" s="90"/>
      <c r="D408" s="91"/>
      <c r="E408" s="92"/>
      <c r="F408" s="92"/>
      <c r="G408" s="92"/>
      <c r="H408" s="90"/>
    </row>
    <row r="409" spans="1:8" ht="15">
      <c r="A409" s="75"/>
      <c r="B409" s="198"/>
      <c r="C409" s="90"/>
      <c r="D409" s="91"/>
      <c r="E409" s="92"/>
      <c r="F409" s="92"/>
      <c r="G409" s="92"/>
      <c r="H409" s="90"/>
    </row>
    <row r="410" spans="1:8" ht="15">
      <c r="A410" s="75"/>
      <c r="B410" s="198"/>
      <c r="C410" s="90"/>
      <c r="D410" s="91"/>
      <c r="E410" s="92"/>
      <c r="F410" s="92"/>
      <c r="G410" s="92"/>
      <c r="H410" s="90"/>
    </row>
    <row r="411" spans="1:8" ht="15">
      <c r="A411" s="75"/>
      <c r="B411" s="198"/>
      <c r="C411" s="90"/>
      <c r="D411" s="91"/>
      <c r="E411" s="92"/>
      <c r="F411" s="92"/>
      <c r="G411" s="92"/>
      <c r="H411" s="90"/>
    </row>
    <row r="412" spans="1:8" ht="15">
      <c r="A412" s="75"/>
      <c r="B412" s="198"/>
      <c r="C412" s="90"/>
      <c r="D412" s="91"/>
      <c r="E412" s="92"/>
      <c r="F412" s="92"/>
      <c r="G412" s="92"/>
      <c r="H412" s="90"/>
    </row>
    <row r="413" spans="1:8" ht="15">
      <c r="A413" s="75"/>
      <c r="B413" s="198"/>
      <c r="C413" s="90"/>
      <c r="D413" s="91"/>
      <c r="E413" s="92"/>
      <c r="F413" s="92"/>
      <c r="G413" s="92"/>
      <c r="H413" s="90"/>
    </row>
    <row r="414" spans="1:8" ht="15">
      <c r="A414" s="75"/>
      <c r="B414" s="198"/>
      <c r="C414" s="90"/>
      <c r="D414" s="91"/>
      <c r="E414" s="92"/>
      <c r="F414" s="92"/>
      <c r="G414" s="92"/>
      <c r="H414" s="90"/>
    </row>
    <row r="415" spans="1:8" ht="15">
      <c r="A415" s="75"/>
      <c r="B415" s="198"/>
      <c r="C415" s="90"/>
      <c r="D415" s="91"/>
      <c r="E415" s="92"/>
      <c r="F415" s="92"/>
      <c r="G415" s="92"/>
      <c r="H415" s="90"/>
    </row>
    <row r="416" spans="1:8" ht="15">
      <c r="A416" s="75"/>
      <c r="B416" s="198"/>
      <c r="C416" s="90"/>
      <c r="D416" s="91"/>
      <c r="E416" s="92"/>
      <c r="F416" s="92"/>
      <c r="G416" s="92"/>
      <c r="H416" s="90"/>
    </row>
    <row r="417" spans="1:8" ht="15">
      <c r="A417" s="75"/>
      <c r="B417" s="198"/>
      <c r="C417" s="90"/>
      <c r="D417" s="91"/>
      <c r="E417" s="92"/>
      <c r="F417" s="92"/>
      <c r="G417" s="92"/>
      <c r="H417" s="90"/>
    </row>
    <row r="418" spans="1:8" ht="15">
      <c r="A418" s="75"/>
      <c r="B418" s="198"/>
      <c r="C418" s="90"/>
      <c r="D418" s="91"/>
      <c r="E418" s="92"/>
      <c r="F418" s="92"/>
      <c r="G418" s="92"/>
      <c r="H418" s="90"/>
    </row>
    <row r="419" spans="1:8" ht="15">
      <c r="A419" s="75"/>
      <c r="B419" s="198"/>
      <c r="C419" s="90"/>
      <c r="D419" s="91"/>
      <c r="E419" s="92"/>
      <c r="F419" s="92"/>
      <c r="G419" s="92"/>
      <c r="H419" s="90"/>
    </row>
    <row r="420" spans="1:8" ht="15">
      <c r="A420" s="75"/>
      <c r="B420" s="198"/>
      <c r="C420" s="90"/>
      <c r="D420" s="91"/>
      <c r="E420" s="92"/>
      <c r="F420" s="92"/>
      <c r="G420" s="92"/>
      <c r="H420" s="90"/>
    </row>
    <row r="421" spans="1:8" ht="15">
      <c r="A421" s="75"/>
      <c r="B421" s="198"/>
      <c r="C421" s="90"/>
      <c r="D421" s="91"/>
      <c r="E421" s="92"/>
      <c r="F421" s="92"/>
      <c r="G421" s="92"/>
      <c r="H421" s="90"/>
    </row>
    <row r="422" spans="1:8" ht="15">
      <c r="A422" s="75"/>
      <c r="B422" s="198"/>
      <c r="C422" s="90"/>
      <c r="D422" s="91"/>
      <c r="E422" s="92"/>
      <c r="F422" s="92"/>
      <c r="G422" s="92"/>
      <c r="H422" s="90"/>
    </row>
    <row r="423" spans="1:8" ht="15">
      <c r="A423" s="75"/>
      <c r="B423" s="198"/>
      <c r="C423" s="90"/>
      <c r="D423" s="91"/>
      <c r="E423" s="92"/>
      <c r="F423" s="92"/>
      <c r="G423" s="92"/>
      <c r="H423" s="90"/>
    </row>
    <row r="424" spans="1:8" ht="15">
      <c r="A424" s="75"/>
      <c r="B424" s="198"/>
      <c r="C424" s="90"/>
      <c r="D424" s="91"/>
      <c r="E424" s="92"/>
      <c r="F424" s="92"/>
      <c r="G424" s="92"/>
      <c r="H424" s="90"/>
    </row>
    <row r="425" spans="1:8" ht="15">
      <c r="A425" s="75"/>
      <c r="B425" s="198"/>
      <c r="C425" s="90"/>
      <c r="D425" s="91"/>
      <c r="E425" s="92"/>
      <c r="F425" s="92"/>
      <c r="G425" s="92"/>
      <c r="H425" s="90"/>
    </row>
    <row r="426" spans="1:8" ht="15">
      <c r="A426" s="75"/>
      <c r="B426" s="198"/>
      <c r="C426" s="90"/>
      <c r="D426" s="91"/>
      <c r="E426" s="92"/>
      <c r="F426" s="92"/>
      <c r="G426" s="92"/>
      <c r="H426" s="90"/>
    </row>
    <row r="427" spans="1:8" ht="15">
      <c r="A427" s="75"/>
      <c r="B427" s="198"/>
      <c r="C427" s="90"/>
      <c r="D427" s="91"/>
      <c r="E427" s="92"/>
      <c r="F427" s="92"/>
      <c r="G427" s="92"/>
      <c r="H427" s="90"/>
    </row>
    <row r="428" spans="1:8" ht="15">
      <c r="A428" s="75"/>
      <c r="B428" s="198"/>
      <c r="C428" s="90"/>
      <c r="D428" s="91"/>
      <c r="E428" s="92"/>
      <c r="F428" s="92"/>
      <c r="G428" s="92"/>
      <c r="H428" s="90"/>
    </row>
    <row r="429" spans="1:8" ht="15">
      <c r="A429" s="75"/>
      <c r="B429" s="198"/>
      <c r="C429" s="90"/>
      <c r="D429" s="91"/>
      <c r="E429" s="92"/>
      <c r="F429" s="92"/>
      <c r="G429" s="92"/>
      <c r="H429" s="90"/>
    </row>
    <row r="430" spans="1:8" ht="15">
      <c r="A430" s="75"/>
      <c r="B430" s="198"/>
      <c r="C430" s="90"/>
      <c r="D430" s="91"/>
      <c r="E430" s="92"/>
      <c r="F430" s="92"/>
      <c r="G430" s="92"/>
      <c r="H430" s="90"/>
    </row>
    <row r="431" spans="1:8" ht="15">
      <c r="A431" s="75"/>
      <c r="B431" s="198"/>
      <c r="C431" s="90"/>
      <c r="D431" s="91"/>
      <c r="E431" s="92"/>
      <c r="F431" s="92"/>
      <c r="G431" s="92"/>
      <c r="H431" s="90"/>
    </row>
    <row r="432" spans="1:8" ht="15">
      <c r="A432" s="75"/>
      <c r="B432" s="198"/>
      <c r="C432" s="90"/>
      <c r="D432" s="91"/>
      <c r="E432" s="92"/>
      <c r="F432" s="92"/>
      <c r="G432" s="92"/>
      <c r="H432" s="90"/>
    </row>
    <row r="433" spans="1:8" ht="15">
      <c r="A433" s="75"/>
      <c r="B433" s="198"/>
      <c r="C433" s="90"/>
      <c r="D433" s="91"/>
      <c r="E433" s="92"/>
      <c r="F433" s="92"/>
      <c r="G433" s="92"/>
      <c r="H433" s="90"/>
    </row>
  </sheetData>
  <mergeCells count="3">
    <mergeCell ref="A1:H1"/>
    <mergeCell ref="A2:H2"/>
    <mergeCell ref="C49:G49"/>
  </mergeCells>
  <printOptions/>
  <pageMargins left="0.75" right="0.44" top="0.57" bottom="0.69" header="0.5" footer="0.5"/>
  <pageSetup horizontalDpi="120" verticalDpi="120" orientation="portrait" paperSize="9" r:id="rId1"/>
  <headerFooter alignWithMargins="0">
    <oddHeader>&amp;CMINERALWISE MINOR MINERAL STATISTICS      YEAR 2006-07</oddHeader>
    <oddFooter>&amp;L&amp;Z&amp;F&amp;R&amp;P of &amp;N</oddFooter>
  </headerFooter>
  <rowBreaks count="8" manualBreakCount="8">
    <brk id="40" max="255" man="1"/>
    <brk id="79" max="255" man="1"/>
    <brk id="117" max="255" man="1"/>
    <brk id="154" max="255" man="1"/>
    <brk id="180" max="255" man="1"/>
    <brk id="222" max="255" man="1"/>
    <brk id="258" max="255" man="1"/>
    <brk id="3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81"/>
  <sheetViews>
    <sheetView workbookViewId="0" topLeftCell="A337">
      <selection activeCell="A348" sqref="A348:H356"/>
    </sheetView>
  </sheetViews>
  <sheetFormatPr defaultColWidth="9.140625" defaultRowHeight="12.75"/>
  <cols>
    <col min="1" max="1" width="5.8515625" style="1" customWidth="1"/>
    <col min="2" max="2" width="18.7109375" style="130" customWidth="1"/>
    <col min="3" max="3" width="9.421875" style="23" customWidth="1"/>
    <col min="4" max="4" width="11.7109375" style="24" customWidth="1"/>
    <col min="5" max="5" width="13.421875" style="25" customWidth="1"/>
    <col min="6" max="6" width="13.7109375" style="25" customWidth="1"/>
    <col min="7" max="7" width="15.57421875" style="25" customWidth="1"/>
    <col min="8" max="8" width="12.00390625" style="23" customWidth="1"/>
    <col min="9" max="16384" width="9.140625" style="1" customWidth="1"/>
  </cols>
  <sheetData>
    <row r="1" spans="1:8" ht="27.75">
      <c r="A1" s="228" t="s">
        <v>59</v>
      </c>
      <c r="B1" s="228"/>
      <c r="C1" s="228"/>
      <c r="D1" s="228"/>
      <c r="E1" s="228"/>
      <c r="F1" s="228"/>
      <c r="G1" s="228"/>
      <c r="H1" s="228"/>
    </row>
    <row r="2" spans="1:8" ht="21">
      <c r="A2" s="201"/>
      <c r="B2" s="202"/>
      <c r="C2" s="203"/>
      <c r="D2" s="204"/>
      <c r="E2" s="205"/>
      <c r="F2" s="205"/>
      <c r="G2" s="205"/>
      <c r="H2" s="203"/>
    </row>
    <row r="3" spans="1:8" ht="15.75">
      <c r="A3" s="75"/>
      <c r="B3" s="89"/>
      <c r="C3" s="90"/>
      <c r="D3" s="206" t="s">
        <v>148</v>
      </c>
      <c r="E3" s="92"/>
      <c r="F3" s="92"/>
      <c r="G3" s="92"/>
      <c r="H3" s="90"/>
    </row>
    <row r="4" spans="1:8" s="89" customFormat="1" ht="15.75">
      <c r="A4" s="43" t="s">
        <v>61</v>
      </c>
      <c r="B4" s="43" t="s">
        <v>62</v>
      </c>
      <c r="C4" s="43" t="s">
        <v>5</v>
      </c>
      <c r="D4" s="43" t="s">
        <v>6</v>
      </c>
      <c r="E4" s="43" t="s">
        <v>7</v>
      </c>
      <c r="F4" s="43" t="s">
        <v>8</v>
      </c>
      <c r="G4" s="43" t="s">
        <v>9</v>
      </c>
      <c r="H4" s="43" t="s">
        <v>63</v>
      </c>
    </row>
    <row r="5" spans="1:8" s="89" customFormat="1" ht="15.75">
      <c r="A5" s="43"/>
      <c r="B5" s="43"/>
      <c r="C5" s="43"/>
      <c r="D5" s="43" t="s">
        <v>11</v>
      </c>
      <c r="E5" s="43" t="s">
        <v>64</v>
      </c>
      <c r="F5" s="43" t="s">
        <v>65</v>
      </c>
      <c r="G5" s="43" t="s">
        <v>66</v>
      </c>
      <c r="H5" s="43" t="s">
        <v>15</v>
      </c>
    </row>
    <row r="6" spans="1:8" s="89" customFormat="1" ht="15.75">
      <c r="A6" s="43">
        <v>1</v>
      </c>
      <c r="B6" s="43" t="s">
        <v>185</v>
      </c>
      <c r="C6" s="43">
        <v>0</v>
      </c>
      <c r="D6" s="180">
        <v>0</v>
      </c>
      <c r="E6" s="181">
        <v>191.875</v>
      </c>
      <c r="F6" s="181">
        <v>1439.062</v>
      </c>
      <c r="G6" s="181">
        <v>1420.981</v>
      </c>
      <c r="H6" s="43">
        <v>485</v>
      </c>
    </row>
    <row r="7" spans="1:8" s="89" customFormat="1" ht="15.75">
      <c r="A7" s="43">
        <f aca="true" t="shared" si="0" ref="A7:A13">+A6+1</f>
        <v>2</v>
      </c>
      <c r="B7" s="43" t="s">
        <v>188</v>
      </c>
      <c r="C7" s="43">
        <v>13</v>
      </c>
      <c r="D7" s="180">
        <v>21.06</v>
      </c>
      <c r="E7" s="181">
        <v>7.489</v>
      </c>
      <c r="F7" s="181">
        <v>101.1</v>
      </c>
      <c r="G7" s="181">
        <v>893.159</v>
      </c>
      <c r="H7" s="43">
        <v>53</v>
      </c>
    </row>
    <row r="8" spans="1:8" s="89" customFormat="1" ht="15.75">
      <c r="A8" s="43">
        <f t="shared" si="0"/>
        <v>3</v>
      </c>
      <c r="B8" s="43" t="s">
        <v>189</v>
      </c>
      <c r="C8" s="43">
        <v>0</v>
      </c>
      <c r="D8" s="180">
        <v>0</v>
      </c>
      <c r="E8" s="181">
        <v>4362.045</v>
      </c>
      <c r="F8" s="181">
        <v>2181.022</v>
      </c>
      <c r="G8" s="181">
        <v>17332.141</v>
      </c>
      <c r="H8" s="43">
        <v>3120</v>
      </c>
    </row>
    <row r="9" spans="1:8" s="89" customFormat="1" ht="15.75">
      <c r="A9" s="43">
        <f t="shared" si="0"/>
        <v>4</v>
      </c>
      <c r="B9" s="43" t="s">
        <v>190</v>
      </c>
      <c r="C9" s="43">
        <v>1</v>
      </c>
      <c r="D9" s="180">
        <v>1.5</v>
      </c>
      <c r="E9" s="181">
        <v>0</v>
      </c>
      <c r="F9" s="181">
        <v>0</v>
      </c>
      <c r="G9" s="181">
        <v>125.943</v>
      </c>
      <c r="H9" s="43">
        <v>0</v>
      </c>
    </row>
    <row r="10" spans="1:8" s="89" customFormat="1" ht="15.75">
      <c r="A10" s="43">
        <f t="shared" si="0"/>
        <v>5</v>
      </c>
      <c r="B10" s="43" t="s">
        <v>192</v>
      </c>
      <c r="C10" s="43">
        <v>90</v>
      </c>
      <c r="D10" s="180">
        <v>112.35</v>
      </c>
      <c r="E10" s="181">
        <v>456.571</v>
      </c>
      <c r="F10" s="181">
        <v>4109.14</v>
      </c>
      <c r="G10" s="181">
        <v>68498.674</v>
      </c>
      <c r="H10" s="43">
        <v>1890</v>
      </c>
    </row>
    <row r="11" spans="1:8" s="89" customFormat="1" ht="15.75">
      <c r="A11" s="43">
        <f t="shared" si="0"/>
        <v>6</v>
      </c>
      <c r="B11" s="43" t="s">
        <v>193</v>
      </c>
      <c r="C11" s="43">
        <v>92</v>
      </c>
      <c r="D11" s="180">
        <v>93.05</v>
      </c>
      <c r="E11" s="181">
        <v>2720.095</v>
      </c>
      <c r="F11" s="181">
        <v>2992.1</v>
      </c>
      <c r="G11" s="181">
        <v>12144.334</v>
      </c>
      <c r="H11" s="43">
        <v>4325</v>
      </c>
    </row>
    <row r="12" spans="1:8" s="89" customFormat="1" ht="15.75">
      <c r="A12" s="43">
        <f t="shared" si="0"/>
        <v>7</v>
      </c>
      <c r="B12" s="43" t="s">
        <v>196</v>
      </c>
      <c r="C12" s="43">
        <v>1</v>
      </c>
      <c r="D12" s="180">
        <v>2.25</v>
      </c>
      <c r="E12" s="181">
        <v>0</v>
      </c>
      <c r="F12" s="181">
        <v>0</v>
      </c>
      <c r="G12" s="181">
        <v>22.944</v>
      </c>
      <c r="H12" s="43">
        <v>0</v>
      </c>
    </row>
    <row r="13" spans="1:8" s="89" customFormat="1" ht="15.75">
      <c r="A13" s="43">
        <f t="shared" si="0"/>
        <v>8</v>
      </c>
      <c r="B13" s="43" t="s">
        <v>197</v>
      </c>
      <c r="C13" s="43">
        <v>1</v>
      </c>
      <c r="D13" s="180">
        <v>1</v>
      </c>
      <c r="E13" s="181">
        <v>0.45</v>
      </c>
      <c r="F13" s="181">
        <v>1.35</v>
      </c>
      <c r="G13" s="181">
        <v>50.06</v>
      </c>
      <c r="H13" s="43">
        <v>5</v>
      </c>
    </row>
    <row r="14" spans="1:8" s="89" customFormat="1" ht="15.75">
      <c r="A14" s="43">
        <v>9</v>
      </c>
      <c r="B14" s="43" t="s">
        <v>79</v>
      </c>
      <c r="C14" s="43">
        <v>0</v>
      </c>
      <c r="D14" s="180">
        <v>0</v>
      </c>
      <c r="E14" s="181">
        <v>0</v>
      </c>
      <c r="F14" s="181">
        <v>0</v>
      </c>
      <c r="G14" s="181">
        <v>256</v>
      </c>
      <c r="H14" s="43">
        <v>0</v>
      </c>
    </row>
    <row r="15" spans="1:8" s="89" customFormat="1" ht="15.75">
      <c r="A15" s="196">
        <v>10</v>
      </c>
      <c r="B15" s="43" t="s">
        <v>223</v>
      </c>
      <c r="C15" s="43">
        <v>0</v>
      </c>
      <c r="D15" s="180">
        <v>0</v>
      </c>
      <c r="E15" s="181">
        <v>0</v>
      </c>
      <c r="F15" s="181">
        <v>0</v>
      </c>
      <c r="G15" s="181">
        <v>6307.79</v>
      </c>
      <c r="H15" s="43">
        <v>0</v>
      </c>
    </row>
    <row r="16" spans="1:8" s="89" customFormat="1" ht="15.75">
      <c r="A16" s="43"/>
      <c r="B16" s="74" t="s">
        <v>80</v>
      </c>
      <c r="C16" s="74">
        <f aca="true" t="shared" si="1" ref="C16:H16">SUM(C6:C15)</f>
        <v>198</v>
      </c>
      <c r="D16" s="74">
        <f t="shared" si="1"/>
        <v>231.20999999999998</v>
      </c>
      <c r="E16" s="74">
        <f t="shared" si="1"/>
        <v>7738.524999999999</v>
      </c>
      <c r="F16" s="74">
        <f t="shared" si="1"/>
        <v>10823.774000000001</v>
      </c>
      <c r="G16" s="74">
        <f t="shared" si="1"/>
        <v>107052.026</v>
      </c>
      <c r="H16" s="74">
        <f t="shared" si="1"/>
        <v>9878</v>
      </c>
    </row>
    <row r="17" spans="1:8" ht="15.75">
      <c r="A17" s="75"/>
      <c r="B17" s="89"/>
      <c r="C17" s="90"/>
      <c r="D17" s="91"/>
      <c r="E17" s="92"/>
      <c r="F17" s="92"/>
      <c r="G17" s="92"/>
      <c r="H17" s="90"/>
    </row>
    <row r="18" spans="1:8" ht="15.75">
      <c r="A18" s="30"/>
      <c r="B18" s="31"/>
      <c r="C18" s="32"/>
      <c r="D18" s="33" t="s">
        <v>145</v>
      </c>
      <c r="E18" s="34"/>
      <c r="F18" s="34"/>
      <c r="G18" s="34"/>
      <c r="H18" s="32"/>
    </row>
    <row r="19" spans="1:8" ht="31.5">
      <c r="A19" s="156" t="s">
        <v>61</v>
      </c>
      <c r="B19" s="38" t="s">
        <v>62</v>
      </c>
      <c r="C19" s="38" t="s">
        <v>5</v>
      </c>
      <c r="D19" s="39" t="s">
        <v>6</v>
      </c>
      <c r="E19" s="40" t="s">
        <v>7</v>
      </c>
      <c r="F19" s="41" t="s">
        <v>8</v>
      </c>
      <c r="G19" s="41" t="s">
        <v>9</v>
      </c>
      <c r="H19" s="38" t="s">
        <v>63</v>
      </c>
    </row>
    <row r="20" spans="1:8" ht="15.75">
      <c r="A20" s="87"/>
      <c r="B20" s="43"/>
      <c r="C20" s="44"/>
      <c r="D20" s="45" t="s">
        <v>11</v>
      </c>
      <c r="E20" s="46" t="s">
        <v>64</v>
      </c>
      <c r="F20" s="46" t="s">
        <v>65</v>
      </c>
      <c r="G20" s="46" t="s">
        <v>66</v>
      </c>
      <c r="H20" s="157" t="s">
        <v>15</v>
      </c>
    </row>
    <row r="21" spans="1:8" ht="15.75">
      <c r="A21" s="73">
        <v>1</v>
      </c>
      <c r="B21" s="43" t="s">
        <v>185</v>
      </c>
      <c r="C21" s="43">
        <v>0</v>
      </c>
      <c r="D21" s="180">
        <v>0</v>
      </c>
      <c r="E21" s="181">
        <v>1226</v>
      </c>
      <c r="F21" s="181">
        <v>7356</v>
      </c>
      <c r="G21" s="181">
        <v>9820.54</v>
      </c>
      <c r="H21" s="43">
        <v>7800</v>
      </c>
    </row>
    <row r="22" spans="1:8" ht="15.75">
      <c r="A22" s="21">
        <v>2</v>
      </c>
      <c r="B22" s="43" t="s">
        <v>186</v>
      </c>
      <c r="C22" s="43">
        <v>3</v>
      </c>
      <c r="D22" s="180">
        <v>4</v>
      </c>
      <c r="E22" s="181">
        <v>0.152</v>
      </c>
      <c r="F22" s="181">
        <v>0.76</v>
      </c>
      <c r="G22" s="181">
        <v>94.432</v>
      </c>
      <c r="H22" s="43">
        <v>3</v>
      </c>
    </row>
    <row r="23" spans="1:8" ht="15.75">
      <c r="A23" s="21">
        <f aca="true" t="shared" si="2" ref="A23:A28">+A22+1</f>
        <v>3</v>
      </c>
      <c r="B23" s="43" t="s">
        <v>188</v>
      </c>
      <c r="C23" s="43">
        <v>1</v>
      </c>
      <c r="D23" s="180">
        <v>4</v>
      </c>
      <c r="E23" s="181">
        <v>0.167</v>
      </c>
      <c r="F23" s="181">
        <v>1.67</v>
      </c>
      <c r="G23" s="181">
        <v>95.522</v>
      </c>
      <c r="H23" s="43">
        <v>1</v>
      </c>
    </row>
    <row r="24" spans="1:8" ht="15.75">
      <c r="A24" s="21">
        <f t="shared" si="2"/>
        <v>4</v>
      </c>
      <c r="B24" s="43" t="s">
        <v>189</v>
      </c>
      <c r="C24" s="43">
        <v>0</v>
      </c>
      <c r="D24" s="180">
        <v>0</v>
      </c>
      <c r="E24" s="181">
        <v>909</v>
      </c>
      <c r="F24" s="181">
        <v>2272.5</v>
      </c>
      <c r="G24" s="181">
        <v>5011.624</v>
      </c>
      <c r="H24" s="43">
        <v>250</v>
      </c>
    </row>
    <row r="25" spans="1:8" ht="15.75">
      <c r="A25" s="21">
        <f t="shared" si="2"/>
        <v>5</v>
      </c>
      <c r="B25" s="43" t="s">
        <v>190</v>
      </c>
      <c r="C25" s="43">
        <v>2</v>
      </c>
      <c r="D25" s="180">
        <v>8.98</v>
      </c>
      <c r="E25" s="181">
        <v>4.2</v>
      </c>
      <c r="F25" s="181">
        <v>21</v>
      </c>
      <c r="G25" s="181">
        <v>436.41</v>
      </c>
      <c r="H25" s="43">
        <v>4</v>
      </c>
    </row>
    <row r="26" spans="1:8" ht="15.75">
      <c r="A26" s="21">
        <f t="shared" si="2"/>
        <v>6</v>
      </c>
      <c r="B26" s="43" t="s">
        <v>192</v>
      </c>
      <c r="C26" s="43">
        <v>103</v>
      </c>
      <c r="D26" s="180">
        <v>136.13</v>
      </c>
      <c r="E26" s="181">
        <v>1094</v>
      </c>
      <c r="F26" s="181">
        <v>4376</v>
      </c>
      <c r="G26" s="181">
        <v>75756.333</v>
      </c>
      <c r="H26" s="43">
        <v>300</v>
      </c>
    </row>
    <row r="27" spans="1:8" ht="15.75">
      <c r="A27" s="21">
        <f t="shared" si="2"/>
        <v>7</v>
      </c>
      <c r="B27" s="43" t="s">
        <v>193</v>
      </c>
      <c r="C27" s="43">
        <v>66</v>
      </c>
      <c r="D27" s="180">
        <v>62.19</v>
      </c>
      <c r="E27" s="181">
        <v>775</v>
      </c>
      <c r="F27" s="181">
        <v>891.25</v>
      </c>
      <c r="G27" s="181">
        <f>16953.139</f>
        <v>16953.139</v>
      </c>
      <c r="H27" s="43">
        <v>225</v>
      </c>
    </row>
    <row r="28" spans="1:8" ht="15.75">
      <c r="A28" s="21">
        <f t="shared" si="2"/>
        <v>8</v>
      </c>
      <c r="B28" s="43" t="s">
        <v>196</v>
      </c>
      <c r="C28" s="43">
        <v>1</v>
      </c>
      <c r="D28" s="180">
        <v>13.37</v>
      </c>
      <c r="E28" s="181">
        <v>0.44</v>
      </c>
      <c r="F28" s="181">
        <v>0.88</v>
      </c>
      <c r="G28" s="181">
        <v>39.454</v>
      </c>
      <c r="H28" s="43">
        <v>2</v>
      </c>
    </row>
    <row r="29" spans="1:8" ht="15.75">
      <c r="A29" s="196">
        <v>9</v>
      </c>
      <c r="B29" s="43" t="s">
        <v>223</v>
      </c>
      <c r="C29" s="43">
        <v>0</v>
      </c>
      <c r="D29" s="180">
        <v>0</v>
      </c>
      <c r="E29" s="181">
        <v>0</v>
      </c>
      <c r="F29" s="181">
        <v>0</v>
      </c>
      <c r="G29" s="181">
        <v>18181.728</v>
      </c>
      <c r="H29" s="43">
        <v>0</v>
      </c>
    </row>
    <row r="30" spans="1:8" ht="15.75">
      <c r="A30" s="21"/>
      <c r="B30" s="74" t="s">
        <v>80</v>
      </c>
      <c r="C30" s="126">
        <f aca="true" t="shared" si="3" ref="C30:H30">SUM(C21:C29)</f>
        <v>176</v>
      </c>
      <c r="D30" s="126">
        <f t="shared" si="3"/>
        <v>228.67</v>
      </c>
      <c r="E30" s="126">
        <f t="shared" si="3"/>
        <v>4008.959</v>
      </c>
      <c r="F30" s="126">
        <f t="shared" si="3"/>
        <v>14920.06</v>
      </c>
      <c r="G30" s="126">
        <f t="shared" si="3"/>
        <v>126389.182</v>
      </c>
      <c r="H30" s="126">
        <f t="shared" si="3"/>
        <v>8585</v>
      </c>
    </row>
    <row r="31" spans="1:8" ht="12.75">
      <c r="A31"/>
      <c r="B31"/>
      <c r="C31"/>
      <c r="D31"/>
      <c r="E31"/>
      <c r="F31"/>
      <c r="G31"/>
      <c r="H31"/>
    </row>
    <row r="32" spans="1:8" ht="15.75">
      <c r="A32" s="30"/>
      <c r="B32" s="31"/>
      <c r="C32" s="32"/>
      <c r="D32" s="207" t="s">
        <v>153</v>
      </c>
      <c r="E32" s="34"/>
      <c r="F32" s="34"/>
      <c r="G32" s="34"/>
      <c r="H32" s="32"/>
    </row>
    <row r="33" spans="1:8" ht="31.5">
      <c r="A33" s="156" t="s">
        <v>61</v>
      </c>
      <c r="B33" s="38" t="s">
        <v>62</v>
      </c>
      <c r="C33" s="38" t="s">
        <v>5</v>
      </c>
      <c r="D33" s="39" t="s">
        <v>6</v>
      </c>
      <c r="E33" s="41" t="s">
        <v>7</v>
      </c>
      <c r="F33" s="41" t="s">
        <v>8</v>
      </c>
      <c r="G33" s="41" t="s">
        <v>9</v>
      </c>
      <c r="H33" s="38" t="s">
        <v>63</v>
      </c>
    </row>
    <row r="34" spans="1:8" ht="15.75">
      <c r="A34" s="87"/>
      <c r="B34" s="43"/>
      <c r="C34" s="44"/>
      <c r="D34" s="45" t="s">
        <v>11</v>
      </c>
      <c r="E34" s="46" t="s">
        <v>64</v>
      </c>
      <c r="F34" s="46" t="s">
        <v>65</v>
      </c>
      <c r="G34" s="46" t="s">
        <v>66</v>
      </c>
      <c r="H34" s="157" t="s">
        <v>15</v>
      </c>
    </row>
    <row r="35" spans="1:8" ht="15.75">
      <c r="A35" s="73">
        <v>1</v>
      </c>
      <c r="B35" s="43" t="s">
        <v>188</v>
      </c>
      <c r="C35" s="43">
        <v>24</v>
      </c>
      <c r="D35" s="180">
        <v>69.55</v>
      </c>
      <c r="E35" s="181">
        <v>3.705</v>
      </c>
      <c r="F35" s="181">
        <v>33.345</v>
      </c>
      <c r="G35" s="181">
        <v>1331.265</v>
      </c>
      <c r="H35" s="43">
        <f>8*24</f>
        <v>192</v>
      </c>
    </row>
    <row r="36" spans="1:8" ht="15.75">
      <c r="A36" s="21">
        <f>+A35+1</f>
        <v>2</v>
      </c>
      <c r="B36" s="43" t="s">
        <v>189</v>
      </c>
      <c r="C36" s="43">
        <v>0</v>
      </c>
      <c r="D36" s="180">
        <v>0</v>
      </c>
      <c r="E36" s="181">
        <v>55.255</v>
      </c>
      <c r="F36" s="181">
        <v>22.102</v>
      </c>
      <c r="G36" s="181">
        <v>582.1</v>
      </c>
      <c r="H36" s="43">
        <v>175</v>
      </c>
    </row>
    <row r="37" spans="1:8" ht="15.75">
      <c r="A37" s="21">
        <f>+A36+1</f>
        <v>3</v>
      </c>
      <c r="B37" s="43" t="s">
        <v>192</v>
      </c>
      <c r="C37" s="43">
        <v>235</v>
      </c>
      <c r="D37" s="180">
        <v>193.44</v>
      </c>
      <c r="E37" s="181">
        <v>198.525</v>
      </c>
      <c r="F37" s="181">
        <v>2580.83</v>
      </c>
      <c r="G37" s="181">
        <v>46281.735</v>
      </c>
      <c r="H37" s="43">
        <v>2350</v>
      </c>
    </row>
    <row r="38" spans="1:8" ht="15.75">
      <c r="A38" s="21">
        <v>4</v>
      </c>
      <c r="B38" s="43" t="s">
        <v>193</v>
      </c>
      <c r="C38" s="43">
        <v>0</v>
      </c>
      <c r="D38" s="180">
        <v>0</v>
      </c>
      <c r="E38" s="181">
        <v>292.477</v>
      </c>
      <c r="F38" s="181">
        <v>146.239</v>
      </c>
      <c r="G38" s="181">
        <f>758.774+1581.047</f>
        <v>2339.821</v>
      </c>
      <c r="H38" s="43">
        <v>0</v>
      </c>
    </row>
    <row r="39" spans="1:8" ht="15.75">
      <c r="A39" s="21">
        <v>5</v>
      </c>
      <c r="B39" s="43" t="s">
        <v>79</v>
      </c>
      <c r="C39" s="43">
        <v>0</v>
      </c>
      <c r="D39" s="180">
        <v>0</v>
      </c>
      <c r="E39" s="181">
        <v>0</v>
      </c>
      <c r="F39" s="181">
        <v>0</v>
      </c>
      <c r="G39" s="181">
        <v>2495.658</v>
      </c>
      <c r="H39" s="43">
        <v>0</v>
      </c>
    </row>
    <row r="40" spans="1:8" ht="15.75">
      <c r="A40" s="21"/>
      <c r="B40" s="74" t="s">
        <v>80</v>
      </c>
      <c r="C40" s="126">
        <f aca="true" t="shared" si="4" ref="C40:H40">SUM(C35:C39)</f>
        <v>259</v>
      </c>
      <c r="D40" s="126">
        <f t="shared" si="4"/>
        <v>262.99</v>
      </c>
      <c r="E40" s="126">
        <f t="shared" si="4"/>
        <v>549.962</v>
      </c>
      <c r="F40" s="126">
        <f t="shared" si="4"/>
        <v>2782.516</v>
      </c>
      <c r="G40" s="126">
        <f t="shared" si="4"/>
        <v>53030.579000000005</v>
      </c>
      <c r="H40" s="126">
        <f t="shared" si="4"/>
        <v>2717</v>
      </c>
    </row>
    <row r="41" spans="1:8" ht="15.75">
      <c r="A41" s="75"/>
      <c r="B41" s="76"/>
      <c r="C41" s="208"/>
      <c r="D41" s="208"/>
      <c r="E41" s="208"/>
      <c r="F41" s="208"/>
      <c r="G41" s="208"/>
      <c r="H41" s="208"/>
    </row>
    <row r="42" spans="1:8" ht="15.75">
      <c r="A42" s="30"/>
      <c r="B42" s="31"/>
      <c r="C42" s="32"/>
      <c r="D42" s="33" t="s">
        <v>219</v>
      </c>
      <c r="E42" s="34"/>
      <c r="F42" s="34"/>
      <c r="G42" s="34"/>
      <c r="H42" s="32"/>
    </row>
    <row r="43" spans="1:8" ht="31.5">
      <c r="A43" s="156" t="s">
        <v>61</v>
      </c>
      <c r="B43" s="38" t="s">
        <v>62</v>
      </c>
      <c r="C43" s="38" t="s">
        <v>5</v>
      </c>
      <c r="D43" s="39" t="s">
        <v>6</v>
      </c>
      <c r="E43" s="40" t="s">
        <v>7</v>
      </c>
      <c r="F43" s="41" t="s">
        <v>8</v>
      </c>
      <c r="G43" s="41" t="s">
        <v>9</v>
      </c>
      <c r="H43" s="38" t="s">
        <v>63</v>
      </c>
    </row>
    <row r="44" spans="1:8" ht="15.75">
      <c r="A44" s="87"/>
      <c r="B44" s="43"/>
      <c r="C44" s="44"/>
      <c r="D44" s="45" t="s">
        <v>11</v>
      </c>
      <c r="E44" s="46" t="s">
        <v>64</v>
      </c>
      <c r="F44" s="46" t="s">
        <v>65</v>
      </c>
      <c r="G44" s="46" t="s">
        <v>66</v>
      </c>
      <c r="H44" s="157" t="s">
        <v>15</v>
      </c>
    </row>
    <row r="45" spans="1:8" ht="15.75">
      <c r="A45" s="73">
        <v>1</v>
      </c>
      <c r="B45" s="43" t="s">
        <v>189</v>
      </c>
      <c r="C45" s="43">
        <v>0</v>
      </c>
      <c r="D45" s="180">
        <v>0</v>
      </c>
      <c r="E45" s="181">
        <f>119.4+290.809+56+613.29</f>
        <v>1079.499</v>
      </c>
      <c r="F45" s="181">
        <v>1079.499</v>
      </c>
      <c r="G45" s="181">
        <f>9981.552</f>
        <v>9981.552</v>
      </c>
      <c r="H45" s="43">
        <v>380</v>
      </c>
    </row>
    <row r="46" spans="1:8" ht="15.75">
      <c r="A46" s="21">
        <f>+A45+1</f>
        <v>2</v>
      </c>
      <c r="B46" s="43" t="s">
        <v>193</v>
      </c>
      <c r="C46" s="43">
        <v>1</v>
      </c>
      <c r="D46" s="180">
        <v>1</v>
      </c>
      <c r="E46" s="181">
        <v>2.98</v>
      </c>
      <c r="F46" s="181">
        <v>1.19</v>
      </c>
      <c r="G46" s="181">
        <v>31.958</v>
      </c>
      <c r="H46" s="43">
        <v>7</v>
      </c>
    </row>
    <row r="47" spans="1:8" ht="15.75">
      <c r="A47" s="21">
        <f>+A46+1</f>
        <v>3</v>
      </c>
      <c r="B47" s="43" t="s">
        <v>222</v>
      </c>
      <c r="C47" s="43">
        <v>0</v>
      </c>
      <c r="D47" s="180">
        <v>0</v>
      </c>
      <c r="E47" s="181">
        <v>18.16</v>
      </c>
      <c r="F47" s="181">
        <v>10.9</v>
      </c>
      <c r="G47" s="181">
        <v>104.802</v>
      </c>
      <c r="H47" s="43">
        <v>0</v>
      </c>
    </row>
    <row r="48" spans="1:8" ht="15.75">
      <c r="A48" s="59">
        <v>4</v>
      </c>
      <c r="B48" s="43" t="s">
        <v>200</v>
      </c>
      <c r="C48" s="43">
        <v>0</v>
      </c>
      <c r="D48" s="180">
        <v>0</v>
      </c>
      <c r="E48" s="181">
        <v>2162.157</v>
      </c>
      <c r="F48" s="181">
        <v>15135.1</v>
      </c>
      <c r="G48" s="181">
        <v>122767.688</v>
      </c>
      <c r="H48" s="43">
        <v>19800</v>
      </c>
    </row>
    <row r="49" spans="1:8" ht="15.75">
      <c r="A49" s="21"/>
      <c r="B49" s="74" t="s">
        <v>80</v>
      </c>
      <c r="C49" s="126">
        <f aca="true" t="shared" si="5" ref="C49:H49">SUM(C45:C48)</f>
        <v>1</v>
      </c>
      <c r="D49" s="127">
        <f t="shared" si="5"/>
        <v>1</v>
      </c>
      <c r="E49" s="126">
        <f t="shared" si="5"/>
        <v>3262.7960000000003</v>
      </c>
      <c r="F49" s="126">
        <f t="shared" si="5"/>
        <v>16226.689</v>
      </c>
      <c r="G49" s="126">
        <f t="shared" si="5"/>
        <v>132886</v>
      </c>
      <c r="H49" s="126">
        <f t="shared" si="5"/>
        <v>20187</v>
      </c>
    </row>
    <row r="50" spans="1:8" ht="15.75">
      <c r="A50" s="75"/>
      <c r="B50" s="76"/>
      <c r="C50" s="208"/>
      <c r="D50" s="208"/>
      <c r="E50" s="208"/>
      <c r="F50" s="208"/>
      <c r="G50" s="208"/>
      <c r="H50" s="208"/>
    </row>
    <row r="51" spans="1:8" ht="15.75">
      <c r="A51" s="30"/>
      <c r="B51" s="31"/>
      <c r="C51" s="32"/>
      <c r="D51" s="33" t="s">
        <v>171</v>
      </c>
      <c r="E51" s="34"/>
      <c r="F51" s="34"/>
      <c r="G51" s="34"/>
      <c r="H51" s="32"/>
    </row>
    <row r="52" spans="1:8" ht="31.5">
      <c r="A52" s="209" t="s">
        <v>61</v>
      </c>
      <c r="B52" s="114" t="s">
        <v>62</v>
      </c>
      <c r="C52" s="114" t="s">
        <v>5</v>
      </c>
      <c r="D52" s="115" t="s">
        <v>6</v>
      </c>
      <c r="E52" s="116" t="s">
        <v>7</v>
      </c>
      <c r="F52" s="117" t="s">
        <v>8</v>
      </c>
      <c r="G52" s="117" t="s">
        <v>9</v>
      </c>
      <c r="H52" s="114" t="s">
        <v>63</v>
      </c>
    </row>
    <row r="53" spans="1:8" ht="15.75">
      <c r="A53" s="87"/>
      <c r="B53" s="43"/>
      <c r="C53" s="44"/>
      <c r="D53" s="45" t="s">
        <v>11</v>
      </c>
      <c r="E53" s="46" t="s">
        <v>64</v>
      </c>
      <c r="F53" s="46" t="s">
        <v>65</v>
      </c>
      <c r="G53" s="46" t="s">
        <v>66</v>
      </c>
      <c r="H53" s="157" t="s">
        <v>15</v>
      </c>
    </row>
    <row r="54" spans="1:8" s="20" customFormat="1" ht="15.75">
      <c r="A54" s="109">
        <v>1</v>
      </c>
      <c r="B54" s="43" t="s">
        <v>185</v>
      </c>
      <c r="C54" s="43">
        <v>0</v>
      </c>
      <c r="D54" s="180">
        <v>0</v>
      </c>
      <c r="E54" s="181">
        <v>734</v>
      </c>
      <c r="F54" s="181">
        <v>2202</v>
      </c>
      <c r="G54" s="181">
        <v>5872</v>
      </c>
      <c r="H54" s="43">
        <v>0</v>
      </c>
    </row>
    <row r="55" spans="1:8" s="20" customFormat="1" ht="15.75">
      <c r="A55" s="110">
        <f>+A54+1</f>
        <v>2</v>
      </c>
      <c r="B55" s="43" t="s">
        <v>186</v>
      </c>
      <c r="C55" s="43">
        <v>4</v>
      </c>
      <c r="D55" s="180">
        <v>1.96</v>
      </c>
      <c r="E55" s="181">
        <v>0.636</v>
      </c>
      <c r="F55" s="181">
        <v>0.636</v>
      </c>
      <c r="G55" s="181">
        <v>35</v>
      </c>
      <c r="H55" s="43">
        <v>8</v>
      </c>
    </row>
    <row r="56" spans="1:8" s="20" customFormat="1" ht="15.75">
      <c r="A56" s="110">
        <f>+A55+1</f>
        <v>3</v>
      </c>
      <c r="B56" s="43" t="s">
        <v>189</v>
      </c>
      <c r="C56" s="43">
        <v>0</v>
      </c>
      <c r="D56" s="180">
        <v>0</v>
      </c>
      <c r="E56" s="181">
        <v>126.412</v>
      </c>
      <c r="F56" s="181">
        <v>126.412</v>
      </c>
      <c r="G56" s="181">
        <v>1011</v>
      </c>
      <c r="H56" s="43">
        <v>0</v>
      </c>
    </row>
    <row r="57" spans="1:8" s="20" customFormat="1" ht="15.75">
      <c r="A57" s="110">
        <f>+A56+1</f>
        <v>4</v>
      </c>
      <c r="B57" s="43" t="s">
        <v>193</v>
      </c>
      <c r="C57" s="43">
        <v>481</v>
      </c>
      <c r="D57" s="180">
        <v>1448.05</v>
      </c>
      <c r="E57" s="181">
        <v>6403.125</v>
      </c>
      <c r="F57" s="181">
        <v>5122.5</v>
      </c>
      <c r="G57" s="181">
        <v>51225</v>
      </c>
      <c r="H57" s="43">
        <v>35096</v>
      </c>
    </row>
    <row r="58" spans="1:8" s="20" customFormat="1" ht="15.75">
      <c r="A58" s="110">
        <v>5</v>
      </c>
      <c r="B58" s="43" t="s">
        <v>194</v>
      </c>
      <c r="C58" s="43">
        <v>2</v>
      </c>
      <c r="D58" s="180">
        <v>966.84</v>
      </c>
      <c r="E58" s="181">
        <v>3.595</v>
      </c>
      <c r="F58" s="181">
        <v>3.595</v>
      </c>
      <c r="G58" s="181">
        <v>151</v>
      </c>
      <c r="H58" s="43">
        <v>22</v>
      </c>
    </row>
    <row r="59" spans="1:8" s="20" customFormat="1" ht="15.75">
      <c r="A59" s="110">
        <v>6</v>
      </c>
      <c r="B59" s="43" t="s">
        <v>195</v>
      </c>
      <c r="C59" s="43">
        <v>0</v>
      </c>
      <c r="D59" s="180">
        <v>0</v>
      </c>
      <c r="E59" s="181">
        <v>436.571</v>
      </c>
      <c r="F59" s="181">
        <v>261.943</v>
      </c>
      <c r="G59" s="181">
        <v>3492</v>
      </c>
      <c r="H59" s="43">
        <v>0</v>
      </c>
    </row>
    <row r="60" spans="1:8" ht="15.75">
      <c r="A60" s="21">
        <f>+A59+1</f>
        <v>7</v>
      </c>
      <c r="B60" s="43" t="s">
        <v>200</v>
      </c>
      <c r="C60" s="43">
        <v>46</v>
      </c>
      <c r="D60" s="180">
        <v>2265.04</v>
      </c>
      <c r="E60" s="181">
        <v>103.786</v>
      </c>
      <c r="F60" s="181">
        <v>207.572</v>
      </c>
      <c r="G60" s="181">
        <v>4359</v>
      </c>
      <c r="H60" s="43">
        <v>2146</v>
      </c>
    </row>
    <row r="61" spans="1:8" ht="15.75">
      <c r="A61" s="59">
        <v>8</v>
      </c>
      <c r="B61" s="43" t="s">
        <v>79</v>
      </c>
      <c r="C61" s="43">
        <v>0</v>
      </c>
      <c r="D61" s="180">
        <v>0</v>
      </c>
      <c r="E61" s="181">
        <v>0</v>
      </c>
      <c r="F61" s="181">
        <v>0</v>
      </c>
      <c r="G61" s="181">
        <v>4000</v>
      </c>
      <c r="H61" s="43">
        <v>0</v>
      </c>
    </row>
    <row r="62" spans="1:8" ht="15.75">
      <c r="A62" s="59"/>
      <c r="B62" s="65" t="s">
        <v>80</v>
      </c>
      <c r="C62" s="210">
        <f aca="true" t="shared" si="6" ref="C62:H62">SUM(C54:C61)</f>
        <v>533</v>
      </c>
      <c r="D62" s="210">
        <f t="shared" si="6"/>
        <v>4681.889999999999</v>
      </c>
      <c r="E62" s="210">
        <f t="shared" si="6"/>
        <v>7808.125</v>
      </c>
      <c r="F62" s="210">
        <f t="shared" si="6"/>
        <v>7924.658</v>
      </c>
      <c r="G62" s="210">
        <f t="shared" si="6"/>
        <v>70145</v>
      </c>
      <c r="H62" s="210">
        <f t="shared" si="6"/>
        <v>37272</v>
      </c>
    </row>
    <row r="63" spans="1:8" ht="15.75">
      <c r="A63" s="67"/>
      <c r="B63" s="68"/>
      <c r="C63" s="69"/>
      <c r="D63" s="70"/>
      <c r="E63" s="71"/>
      <c r="F63" s="71"/>
      <c r="G63" s="71"/>
      <c r="H63" s="69"/>
    </row>
    <row r="64" spans="1:8" ht="15.75">
      <c r="A64" s="30"/>
      <c r="B64" s="31"/>
      <c r="C64" s="32"/>
      <c r="D64" s="33" t="s">
        <v>149</v>
      </c>
      <c r="E64" s="34"/>
      <c r="F64" s="34"/>
      <c r="G64" s="34"/>
      <c r="H64" s="32"/>
    </row>
    <row r="65" spans="1:8" ht="31.5">
      <c r="A65" s="156" t="s">
        <v>61</v>
      </c>
      <c r="B65" s="38" t="s">
        <v>62</v>
      </c>
      <c r="C65" s="38" t="s">
        <v>5</v>
      </c>
      <c r="D65" s="39" t="s">
        <v>6</v>
      </c>
      <c r="E65" s="40" t="s">
        <v>7</v>
      </c>
      <c r="F65" s="41" t="s">
        <v>8</v>
      </c>
      <c r="G65" s="41" t="s">
        <v>9</v>
      </c>
      <c r="H65" s="38" t="s">
        <v>63</v>
      </c>
    </row>
    <row r="66" spans="1:8" ht="15.75">
      <c r="A66" s="87"/>
      <c r="B66" s="43"/>
      <c r="C66" s="44"/>
      <c r="D66" s="45" t="s">
        <v>11</v>
      </c>
      <c r="E66" s="46" t="s">
        <v>64</v>
      </c>
      <c r="F66" s="46" t="s">
        <v>65</v>
      </c>
      <c r="G66" s="46" t="s">
        <v>66</v>
      </c>
      <c r="H66" s="157" t="s">
        <v>15</v>
      </c>
    </row>
    <row r="67" spans="1:8" ht="15.75">
      <c r="A67" s="73">
        <v>1</v>
      </c>
      <c r="B67" s="43" t="s">
        <v>185</v>
      </c>
      <c r="C67" s="43">
        <v>0</v>
      </c>
      <c r="D67" s="180">
        <v>0</v>
      </c>
      <c r="E67" s="181">
        <v>225.6</v>
      </c>
      <c r="F67" s="181">
        <v>90.3</v>
      </c>
      <c r="G67" s="181">
        <v>1492.28</v>
      </c>
      <c r="H67" s="43">
        <v>600</v>
      </c>
    </row>
    <row r="68" spans="1:8" ht="15.75">
      <c r="A68" s="21">
        <f aca="true" t="shared" si="7" ref="A68:A74">+A67+1</f>
        <v>2</v>
      </c>
      <c r="B68" s="43" t="s">
        <v>225</v>
      </c>
      <c r="C68" s="43">
        <v>1</v>
      </c>
      <c r="D68" s="180">
        <v>1</v>
      </c>
      <c r="E68" s="181">
        <v>1.77</v>
      </c>
      <c r="F68" s="181">
        <v>0.354</v>
      </c>
      <c r="G68" s="181">
        <v>26.25</v>
      </c>
      <c r="H68" s="43">
        <v>8</v>
      </c>
    </row>
    <row r="69" spans="1:8" ht="15.75">
      <c r="A69" s="21">
        <f t="shared" si="7"/>
        <v>3</v>
      </c>
      <c r="B69" s="43" t="s">
        <v>188</v>
      </c>
      <c r="C69" s="43">
        <v>5</v>
      </c>
      <c r="D69" s="180">
        <v>5</v>
      </c>
      <c r="E69" s="181">
        <v>0.201</v>
      </c>
      <c r="F69" s="181">
        <v>1.005</v>
      </c>
      <c r="G69" s="181">
        <v>335.285</v>
      </c>
      <c r="H69" s="43">
        <v>10</v>
      </c>
    </row>
    <row r="70" spans="1:8" ht="15.75">
      <c r="A70" s="21">
        <f t="shared" si="7"/>
        <v>4</v>
      </c>
      <c r="B70" s="43" t="s">
        <v>189</v>
      </c>
      <c r="C70" s="43">
        <v>0</v>
      </c>
      <c r="D70" s="180">
        <v>0</v>
      </c>
      <c r="E70" s="181">
        <v>2925.182</v>
      </c>
      <c r="F70" s="181">
        <v>2925.182</v>
      </c>
      <c r="G70" s="181">
        <v>21274.049</v>
      </c>
      <c r="H70" s="43">
        <v>1026</v>
      </c>
    </row>
    <row r="71" spans="1:8" ht="15.75">
      <c r="A71" s="21">
        <f t="shared" si="7"/>
        <v>5</v>
      </c>
      <c r="B71" s="43" t="s">
        <v>190</v>
      </c>
      <c r="C71" s="43">
        <v>5</v>
      </c>
      <c r="D71" s="180">
        <v>4.06</v>
      </c>
      <c r="E71" s="181">
        <v>2.898</v>
      </c>
      <c r="F71" s="181">
        <v>2.898</v>
      </c>
      <c r="G71" s="181">
        <v>382.134</v>
      </c>
      <c r="H71" s="43">
        <v>16</v>
      </c>
    </row>
    <row r="72" spans="1:8" ht="15.75">
      <c r="A72" s="21">
        <f t="shared" si="7"/>
        <v>6</v>
      </c>
      <c r="B72" s="43" t="s">
        <v>192</v>
      </c>
      <c r="C72" s="43">
        <v>23</v>
      </c>
      <c r="D72" s="180">
        <v>37.22</v>
      </c>
      <c r="E72" s="181">
        <v>2.5</v>
      </c>
      <c r="F72" s="181">
        <v>25</v>
      </c>
      <c r="G72" s="181">
        <v>2850.48</v>
      </c>
      <c r="H72" s="43">
        <v>138</v>
      </c>
    </row>
    <row r="73" spans="1:8" ht="15.75">
      <c r="A73" s="21">
        <f t="shared" si="7"/>
        <v>7</v>
      </c>
      <c r="B73" s="43" t="s">
        <v>193</v>
      </c>
      <c r="C73" s="43">
        <v>57</v>
      </c>
      <c r="D73" s="180">
        <v>55.585</v>
      </c>
      <c r="E73" s="181">
        <v>1277.48</v>
      </c>
      <c r="F73" s="181">
        <v>1277.48</v>
      </c>
      <c r="G73" s="181">
        <f>7961.747</f>
        <v>7961.747</v>
      </c>
      <c r="H73" s="43">
        <v>1107</v>
      </c>
    </row>
    <row r="74" spans="1:8" ht="15.75">
      <c r="A74" s="21">
        <f t="shared" si="7"/>
        <v>8</v>
      </c>
      <c r="B74" s="43" t="s">
        <v>196</v>
      </c>
      <c r="C74" s="43">
        <v>7</v>
      </c>
      <c r="D74" s="180">
        <v>6.82</v>
      </c>
      <c r="E74" s="181">
        <v>1.332</v>
      </c>
      <c r="F74" s="181">
        <v>6.66</v>
      </c>
      <c r="G74" s="181">
        <v>82.223</v>
      </c>
      <c r="H74" s="43">
        <v>13</v>
      </c>
    </row>
    <row r="75" spans="1:8" ht="15.75">
      <c r="A75" s="196">
        <v>9</v>
      </c>
      <c r="B75" s="43" t="s">
        <v>223</v>
      </c>
      <c r="C75" s="43">
        <v>0</v>
      </c>
      <c r="D75" s="180">
        <v>0</v>
      </c>
      <c r="E75" s="181">
        <v>0</v>
      </c>
      <c r="F75" s="181">
        <v>0</v>
      </c>
      <c r="G75" s="181">
        <v>17209.928</v>
      </c>
      <c r="H75" s="43">
        <v>0</v>
      </c>
    </row>
    <row r="76" spans="1:8" ht="15.75">
      <c r="A76" s="59"/>
      <c r="B76" s="65" t="s">
        <v>80</v>
      </c>
      <c r="C76" s="210">
        <f aca="true" t="shared" si="8" ref="C76:H76">SUM(C67:C75)</f>
        <v>98</v>
      </c>
      <c r="D76" s="210">
        <f t="shared" si="8"/>
        <v>109.685</v>
      </c>
      <c r="E76" s="210">
        <f t="shared" si="8"/>
        <v>4436.963</v>
      </c>
      <c r="F76" s="210">
        <f t="shared" si="8"/>
        <v>4328.879</v>
      </c>
      <c r="G76" s="210">
        <f t="shared" si="8"/>
        <v>51614.376</v>
      </c>
      <c r="H76" s="210">
        <f t="shared" si="8"/>
        <v>2918</v>
      </c>
    </row>
    <row r="77" spans="1:8" ht="15.75">
      <c r="A77" s="67"/>
      <c r="B77" s="68"/>
      <c r="C77" s="69"/>
      <c r="D77" s="70"/>
      <c r="E77" s="71"/>
      <c r="F77" s="71"/>
      <c r="G77" s="71"/>
      <c r="H77" s="69"/>
    </row>
    <row r="78" spans="1:8" ht="15.75">
      <c r="A78" s="30"/>
      <c r="B78" s="31"/>
      <c r="C78" s="32"/>
      <c r="D78" s="33" t="s">
        <v>152</v>
      </c>
      <c r="E78" s="34"/>
      <c r="F78" s="34"/>
      <c r="G78" s="34"/>
      <c r="H78" s="32"/>
    </row>
    <row r="79" spans="1:8" ht="31.5">
      <c r="A79" s="156" t="s">
        <v>61</v>
      </c>
      <c r="B79" s="38" t="s">
        <v>62</v>
      </c>
      <c r="C79" s="38" t="s">
        <v>5</v>
      </c>
      <c r="D79" s="39" t="s">
        <v>6</v>
      </c>
      <c r="E79" s="40" t="s">
        <v>7</v>
      </c>
      <c r="F79" s="41" t="s">
        <v>8</v>
      </c>
      <c r="G79" s="41" t="s">
        <v>9</v>
      </c>
      <c r="H79" s="38" t="s">
        <v>63</v>
      </c>
    </row>
    <row r="80" spans="1:8" ht="15.75">
      <c r="A80" s="87"/>
      <c r="B80" s="43"/>
      <c r="C80" s="44"/>
      <c r="D80" s="45" t="s">
        <v>11</v>
      </c>
      <c r="E80" s="46" t="s">
        <v>64</v>
      </c>
      <c r="F80" s="46" t="s">
        <v>65</v>
      </c>
      <c r="G80" s="46" t="s">
        <v>66</v>
      </c>
      <c r="H80" s="157" t="s">
        <v>15</v>
      </c>
    </row>
    <row r="81" spans="1:8" ht="15.75">
      <c r="A81" s="73">
        <v>1</v>
      </c>
      <c r="B81" s="43" t="s">
        <v>185</v>
      </c>
      <c r="C81" s="43">
        <v>0</v>
      </c>
      <c r="D81" s="180">
        <v>0</v>
      </c>
      <c r="E81" s="181">
        <v>19.333</v>
      </c>
      <c r="F81" s="181">
        <v>43.5</v>
      </c>
      <c r="G81" s="181">
        <v>29</v>
      </c>
      <c r="H81" s="43">
        <v>100</v>
      </c>
    </row>
    <row r="82" spans="1:8" ht="15.75">
      <c r="A82" s="21">
        <f>+A81+1</f>
        <v>2</v>
      </c>
      <c r="B82" s="43" t="s">
        <v>189</v>
      </c>
      <c r="C82" s="43">
        <v>0</v>
      </c>
      <c r="D82" s="180">
        <v>0</v>
      </c>
      <c r="E82" s="181">
        <v>65.125</v>
      </c>
      <c r="F82" s="181">
        <v>52.1</v>
      </c>
      <c r="G82" s="181">
        <v>535</v>
      </c>
      <c r="H82" s="43">
        <v>100</v>
      </c>
    </row>
    <row r="83" spans="1:8" ht="15.75">
      <c r="A83" s="21">
        <f>+A82+1</f>
        <v>3</v>
      </c>
      <c r="B83" s="43" t="s">
        <v>190</v>
      </c>
      <c r="C83" s="43">
        <v>8</v>
      </c>
      <c r="D83" s="180">
        <v>8</v>
      </c>
      <c r="E83" s="181">
        <v>10.355</v>
      </c>
      <c r="F83" s="181">
        <v>5.177</v>
      </c>
      <c r="G83" s="181">
        <v>973</v>
      </c>
      <c r="H83" s="43">
        <v>50</v>
      </c>
    </row>
    <row r="84" spans="1:8" ht="15.75">
      <c r="A84" s="21">
        <f>+A83+1</f>
        <v>4</v>
      </c>
      <c r="B84" s="43" t="s">
        <v>192</v>
      </c>
      <c r="C84" s="43">
        <v>77</v>
      </c>
      <c r="D84" s="180">
        <v>73.59</v>
      </c>
      <c r="E84" s="181">
        <v>513.2</v>
      </c>
      <c r="F84" s="181">
        <v>5645.2</v>
      </c>
      <c r="G84" s="181">
        <v>70877</v>
      </c>
      <c r="H84" s="43">
        <v>1200</v>
      </c>
    </row>
    <row r="85" spans="1:8" ht="15.75">
      <c r="A85" s="21">
        <f>+A84+1</f>
        <v>5</v>
      </c>
      <c r="B85" s="43" t="s">
        <v>193</v>
      </c>
      <c r="C85" s="43">
        <v>19</v>
      </c>
      <c r="D85" s="180">
        <v>19</v>
      </c>
      <c r="E85" s="181">
        <v>74.25</v>
      </c>
      <c r="F85" s="181">
        <v>22.27</v>
      </c>
      <c r="G85" s="181">
        <v>1287</v>
      </c>
      <c r="H85" s="43">
        <v>50</v>
      </c>
    </row>
    <row r="86" spans="1:8" ht="15.75">
      <c r="A86" s="196">
        <v>6</v>
      </c>
      <c r="B86" s="43" t="s">
        <v>223</v>
      </c>
      <c r="C86" s="43">
        <v>0</v>
      </c>
      <c r="D86" s="180">
        <v>0</v>
      </c>
      <c r="E86" s="181">
        <v>0</v>
      </c>
      <c r="F86" s="181">
        <v>0</v>
      </c>
      <c r="G86" s="181">
        <v>5225</v>
      </c>
      <c r="H86" s="43">
        <v>0</v>
      </c>
    </row>
    <row r="87" spans="1:8" ht="15.75">
      <c r="A87" s="59"/>
      <c r="B87" s="65" t="s">
        <v>80</v>
      </c>
      <c r="C87" s="210">
        <f aca="true" t="shared" si="9" ref="C87:H87">SUM(C81:C86)</f>
        <v>104</v>
      </c>
      <c r="D87" s="210">
        <f t="shared" si="9"/>
        <v>100.59</v>
      </c>
      <c r="E87" s="210">
        <f t="shared" si="9"/>
        <v>682.263</v>
      </c>
      <c r="F87" s="210">
        <f t="shared" si="9"/>
        <v>5768.247</v>
      </c>
      <c r="G87" s="210">
        <f t="shared" si="9"/>
        <v>78926</v>
      </c>
      <c r="H87" s="210">
        <f t="shared" si="9"/>
        <v>1500</v>
      </c>
    </row>
    <row r="88" spans="1:8" ht="15.75">
      <c r="A88" s="67"/>
      <c r="B88" s="68"/>
      <c r="C88" s="69"/>
      <c r="D88" s="70"/>
      <c r="E88" s="71"/>
      <c r="F88" s="71"/>
      <c r="G88" s="71"/>
      <c r="H88" s="69"/>
    </row>
    <row r="89" spans="1:8" ht="15.75">
      <c r="A89" s="30"/>
      <c r="B89" s="31"/>
      <c r="C89" s="32"/>
      <c r="D89" s="33" t="s">
        <v>161</v>
      </c>
      <c r="E89" s="34"/>
      <c r="F89" s="34"/>
      <c r="G89" s="34"/>
      <c r="H89" s="32"/>
    </row>
    <row r="90" spans="1:8" ht="31.5">
      <c r="A90" s="156" t="s">
        <v>61</v>
      </c>
      <c r="B90" s="38" t="s">
        <v>62</v>
      </c>
      <c r="C90" s="38" t="s">
        <v>5</v>
      </c>
      <c r="D90" s="39" t="s">
        <v>6</v>
      </c>
      <c r="E90" s="40" t="s">
        <v>7</v>
      </c>
      <c r="F90" s="41" t="s">
        <v>8</v>
      </c>
      <c r="G90" s="41" t="s">
        <v>9</v>
      </c>
      <c r="H90" s="38" t="s">
        <v>63</v>
      </c>
    </row>
    <row r="91" spans="1:8" ht="15.75">
      <c r="A91" s="87"/>
      <c r="B91" s="43"/>
      <c r="C91" s="44"/>
      <c r="D91" s="45" t="s">
        <v>11</v>
      </c>
      <c r="E91" s="46" t="s">
        <v>64</v>
      </c>
      <c r="F91" s="46" t="s">
        <v>65</v>
      </c>
      <c r="G91" s="46" t="s">
        <v>66</v>
      </c>
      <c r="H91" s="157" t="s">
        <v>15</v>
      </c>
    </row>
    <row r="92" spans="1:8" ht="15.75">
      <c r="A92" s="73">
        <v>1</v>
      </c>
      <c r="B92" s="43" t="s">
        <v>184</v>
      </c>
      <c r="C92" s="43">
        <v>13</v>
      </c>
      <c r="D92" s="180">
        <v>84.4</v>
      </c>
      <c r="E92" s="181">
        <v>53.111</v>
      </c>
      <c r="F92" s="181">
        <v>79.666</v>
      </c>
      <c r="G92" s="181">
        <v>3230.333</v>
      </c>
      <c r="H92" s="43">
        <v>198</v>
      </c>
    </row>
    <row r="93" spans="1:8" ht="15.75">
      <c r="A93" s="21">
        <f>+A92+1</f>
        <v>2</v>
      </c>
      <c r="B93" s="43" t="s">
        <v>225</v>
      </c>
      <c r="C93" s="43">
        <v>24</v>
      </c>
      <c r="D93" s="180">
        <v>55.43</v>
      </c>
      <c r="E93" s="181">
        <v>7.01</v>
      </c>
      <c r="F93" s="181">
        <v>49.068</v>
      </c>
      <c r="G93" s="181">
        <v>473.552</v>
      </c>
      <c r="H93" s="43">
        <v>145</v>
      </c>
    </row>
    <row r="94" spans="1:8" ht="15.75">
      <c r="A94" s="21">
        <f>+A93+1</f>
        <v>3</v>
      </c>
      <c r="B94" s="43" t="s">
        <v>188</v>
      </c>
      <c r="C94" s="43">
        <v>39</v>
      </c>
      <c r="D94" s="180">
        <v>84.72</v>
      </c>
      <c r="E94" s="181">
        <v>127.26</v>
      </c>
      <c r="F94" s="181">
        <v>396.156</v>
      </c>
      <c r="G94" s="181">
        <v>2034.552</v>
      </c>
      <c r="H94" s="43">
        <v>380</v>
      </c>
    </row>
    <row r="95" spans="1:8" ht="15.75">
      <c r="A95" s="21">
        <f>+A94+1</f>
        <v>4</v>
      </c>
      <c r="B95" s="43" t="s">
        <v>189</v>
      </c>
      <c r="C95" s="43">
        <v>0</v>
      </c>
      <c r="D95" s="180">
        <v>0</v>
      </c>
      <c r="E95" s="181">
        <v>1059.935</v>
      </c>
      <c r="F95" s="181">
        <v>1130.671</v>
      </c>
      <c r="G95" s="181">
        <v>18807.551</v>
      </c>
      <c r="H95" s="43">
        <v>1256</v>
      </c>
    </row>
    <row r="96" spans="1:8" ht="15.75">
      <c r="A96" s="21">
        <f>+A95+1</f>
        <v>5</v>
      </c>
      <c r="B96" s="43" t="s">
        <v>193</v>
      </c>
      <c r="C96" s="43">
        <v>187</v>
      </c>
      <c r="D96" s="180">
        <v>186.76</v>
      </c>
      <c r="E96" s="181">
        <v>3715.334</v>
      </c>
      <c r="F96" s="181">
        <v>5201.467</v>
      </c>
      <c r="G96" s="181">
        <v>29740.777</v>
      </c>
      <c r="H96" s="43">
        <v>1496</v>
      </c>
    </row>
    <row r="97" spans="1:8" ht="15.75">
      <c r="A97" s="21">
        <f>+A96+1</f>
        <v>6</v>
      </c>
      <c r="B97" s="43" t="s">
        <v>222</v>
      </c>
      <c r="C97" s="43">
        <v>0</v>
      </c>
      <c r="D97" s="180">
        <v>0</v>
      </c>
      <c r="E97" s="181">
        <v>22810.59</v>
      </c>
      <c r="F97" s="181">
        <v>2835.969</v>
      </c>
      <c r="G97" s="181">
        <v>18951.28</v>
      </c>
      <c r="H97" s="43">
        <v>820</v>
      </c>
    </row>
    <row r="98" spans="1:8" ht="15.75">
      <c r="A98" s="21"/>
      <c r="B98" s="74" t="s">
        <v>80</v>
      </c>
      <c r="C98" s="126">
        <f aca="true" t="shared" si="10" ref="C98:H98">SUM(C92:C97)</f>
        <v>263</v>
      </c>
      <c r="D98" s="126">
        <f t="shared" si="10"/>
        <v>411.31</v>
      </c>
      <c r="E98" s="126">
        <f t="shared" si="10"/>
        <v>27773.239999999998</v>
      </c>
      <c r="F98" s="126">
        <f t="shared" si="10"/>
        <v>9692.997</v>
      </c>
      <c r="G98" s="126">
        <f t="shared" si="10"/>
        <v>73238.045</v>
      </c>
      <c r="H98" s="126">
        <f t="shared" si="10"/>
        <v>4295</v>
      </c>
    </row>
    <row r="99" spans="1:8" ht="15.75">
      <c r="A99" s="75"/>
      <c r="B99" s="76"/>
      <c r="C99" s="208"/>
      <c r="D99" s="211"/>
      <c r="E99" s="212"/>
      <c r="F99" s="212"/>
      <c r="G99" s="212"/>
      <c r="H99" s="208"/>
    </row>
    <row r="100" spans="1:8" ht="15.75">
      <c r="A100" s="75"/>
      <c r="B100" s="76"/>
      <c r="C100" s="208"/>
      <c r="D100" s="211"/>
      <c r="E100" s="212"/>
      <c r="F100" s="212"/>
      <c r="G100" s="212"/>
      <c r="H100" s="208"/>
    </row>
    <row r="101" spans="1:8" ht="15.75">
      <c r="A101" s="75"/>
      <c r="B101" s="89"/>
      <c r="C101" s="90"/>
      <c r="D101" s="81" t="s">
        <v>155</v>
      </c>
      <c r="E101" s="92"/>
      <c r="F101" s="92"/>
      <c r="G101" s="92"/>
      <c r="H101" s="90"/>
    </row>
    <row r="102" spans="1:8" s="89" customFormat="1" ht="15.75">
      <c r="A102" s="43" t="s">
        <v>61</v>
      </c>
      <c r="B102" s="43" t="s">
        <v>62</v>
      </c>
      <c r="C102" s="43" t="s">
        <v>5</v>
      </c>
      <c r="D102" s="43" t="s">
        <v>6</v>
      </c>
      <c r="E102" s="181" t="s">
        <v>7</v>
      </c>
      <c r="F102" s="181" t="s">
        <v>8</v>
      </c>
      <c r="G102" s="181" t="s">
        <v>9</v>
      </c>
      <c r="H102" s="43" t="s">
        <v>63</v>
      </c>
    </row>
    <row r="103" spans="1:8" s="89" customFormat="1" ht="15.75">
      <c r="A103" s="43"/>
      <c r="B103" s="43"/>
      <c r="C103" s="43"/>
      <c r="D103" s="43" t="s">
        <v>11</v>
      </c>
      <c r="E103" s="181" t="s">
        <v>64</v>
      </c>
      <c r="F103" s="181" t="s">
        <v>65</v>
      </c>
      <c r="G103" s="181" t="s">
        <v>66</v>
      </c>
      <c r="H103" s="43" t="s">
        <v>15</v>
      </c>
    </row>
    <row r="104" spans="1:8" s="89" customFormat="1" ht="15.75">
      <c r="A104" s="43">
        <v>1</v>
      </c>
      <c r="B104" s="43" t="s">
        <v>185</v>
      </c>
      <c r="C104" s="43">
        <v>10</v>
      </c>
      <c r="D104" s="180">
        <v>6.76</v>
      </c>
      <c r="E104" s="181">
        <v>343</v>
      </c>
      <c r="F104" s="181">
        <v>480.2</v>
      </c>
      <c r="G104" s="181">
        <v>2433.924</v>
      </c>
      <c r="H104" s="43">
        <v>550</v>
      </c>
    </row>
    <row r="105" spans="1:8" s="89" customFormat="1" ht="15.75">
      <c r="A105" s="43">
        <f aca="true" t="shared" si="11" ref="A105:A110">+A104+1</f>
        <v>2</v>
      </c>
      <c r="B105" s="43" t="s">
        <v>225</v>
      </c>
      <c r="C105" s="43">
        <v>1</v>
      </c>
      <c r="D105" s="180">
        <v>1300</v>
      </c>
      <c r="E105" s="181">
        <v>3</v>
      </c>
      <c r="F105" s="181">
        <v>6</v>
      </c>
      <c r="G105" s="181">
        <v>110</v>
      </c>
      <c r="H105" s="43">
        <v>3</v>
      </c>
    </row>
    <row r="106" spans="1:8" s="89" customFormat="1" ht="15.75">
      <c r="A106" s="43">
        <f t="shared" si="11"/>
        <v>3</v>
      </c>
      <c r="B106" s="43" t="s">
        <v>189</v>
      </c>
      <c r="C106" s="43">
        <v>19</v>
      </c>
      <c r="D106" s="180">
        <v>56.15</v>
      </c>
      <c r="E106" s="181">
        <v>1358.25</v>
      </c>
      <c r="F106" s="181">
        <v>679.125</v>
      </c>
      <c r="G106" s="181">
        <v>23314.666</v>
      </c>
      <c r="H106" s="43">
        <v>450</v>
      </c>
    </row>
    <row r="107" spans="1:8" s="89" customFormat="1" ht="15.75">
      <c r="A107" s="43">
        <f t="shared" si="11"/>
        <v>4</v>
      </c>
      <c r="B107" s="43" t="s">
        <v>190</v>
      </c>
      <c r="C107" s="43">
        <v>4</v>
      </c>
      <c r="D107" s="180">
        <v>18.84</v>
      </c>
      <c r="E107" s="181">
        <v>11</v>
      </c>
      <c r="F107" s="181">
        <v>8.25</v>
      </c>
      <c r="G107" s="181">
        <v>498.863</v>
      </c>
      <c r="H107" s="43">
        <v>16</v>
      </c>
    </row>
    <row r="108" spans="1:8" s="89" customFormat="1" ht="15.75">
      <c r="A108" s="43">
        <f t="shared" si="11"/>
        <v>5</v>
      </c>
      <c r="B108" s="43" t="s">
        <v>192</v>
      </c>
      <c r="C108" s="43">
        <v>50</v>
      </c>
      <c r="D108" s="180">
        <v>91.41</v>
      </c>
      <c r="E108" s="181">
        <v>97.936</v>
      </c>
      <c r="F108" s="181">
        <v>979.36</v>
      </c>
      <c r="G108" s="181">
        <v>14200.779</v>
      </c>
      <c r="H108" s="43">
        <v>145</v>
      </c>
    </row>
    <row r="109" spans="1:8" s="89" customFormat="1" ht="15.75">
      <c r="A109" s="43">
        <f t="shared" si="11"/>
        <v>6</v>
      </c>
      <c r="B109" s="43" t="s">
        <v>193</v>
      </c>
      <c r="C109" s="43">
        <v>111</v>
      </c>
      <c r="D109" s="180">
        <v>82.09</v>
      </c>
      <c r="E109" s="181">
        <v>3355.373</v>
      </c>
      <c r="F109" s="181">
        <v>1677.686</v>
      </c>
      <c r="G109" s="181">
        <v>29330.634</v>
      </c>
      <c r="H109" s="43">
        <v>455</v>
      </c>
    </row>
    <row r="110" spans="1:8" s="89" customFormat="1" ht="15.75">
      <c r="A110" s="43">
        <f t="shared" si="11"/>
        <v>7</v>
      </c>
      <c r="B110" s="43" t="s">
        <v>200</v>
      </c>
      <c r="C110" s="43">
        <v>0</v>
      </c>
      <c r="D110" s="180">
        <v>0</v>
      </c>
      <c r="E110" s="181">
        <v>64.422</v>
      </c>
      <c r="F110" s="181">
        <v>32.211</v>
      </c>
      <c r="G110" s="181">
        <v>687.172</v>
      </c>
      <c r="H110" s="43">
        <v>80</v>
      </c>
    </row>
    <row r="111" spans="1:8" s="89" customFormat="1" ht="15.75">
      <c r="A111" s="43"/>
      <c r="B111" s="74" t="s">
        <v>80</v>
      </c>
      <c r="C111" s="74">
        <f aca="true" t="shared" si="12" ref="C111:H111">SUM(C104:C110)</f>
        <v>195</v>
      </c>
      <c r="D111" s="74">
        <f t="shared" si="12"/>
        <v>1555.25</v>
      </c>
      <c r="E111" s="74">
        <f t="shared" si="12"/>
        <v>5232.981</v>
      </c>
      <c r="F111" s="74">
        <f t="shared" si="12"/>
        <v>3862.832</v>
      </c>
      <c r="G111" s="74">
        <f t="shared" si="12"/>
        <v>70576.03800000002</v>
      </c>
      <c r="H111" s="74">
        <f t="shared" si="12"/>
        <v>1699</v>
      </c>
    </row>
    <row r="112" spans="2:8" s="75" customFormat="1" ht="15.75">
      <c r="B112" s="76"/>
      <c r="C112" s="208"/>
      <c r="D112" s="211"/>
      <c r="E112" s="212"/>
      <c r="F112" s="212"/>
      <c r="G112" s="212"/>
      <c r="H112" s="208"/>
    </row>
    <row r="113" spans="1:8" ht="15.75">
      <c r="A113" s="75"/>
      <c r="B113" s="76"/>
      <c r="C113" s="208"/>
      <c r="D113" s="211"/>
      <c r="E113" s="212"/>
      <c r="F113" s="212"/>
      <c r="G113" s="212"/>
      <c r="H113" s="208"/>
    </row>
    <row r="114" spans="2:8" ht="15.75">
      <c r="B114" s="213"/>
      <c r="C114" s="214"/>
      <c r="D114" s="81" t="s">
        <v>218</v>
      </c>
      <c r="E114" s="215"/>
      <c r="F114" s="215"/>
      <c r="G114" s="215"/>
      <c r="H114" s="214"/>
    </row>
    <row r="115" spans="1:8" ht="31.5">
      <c r="A115" s="156" t="s">
        <v>61</v>
      </c>
      <c r="B115" s="38" t="s">
        <v>62</v>
      </c>
      <c r="C115" s="38" t="s">
        <v>5</v>
      </c>
      <c r="D115" s="39" t="s">
        <v>6</v>
      </c>
      <c r="E115" s="40" t="s">
        <v>7</v>
      </c>
      <c r="F115" s="41" t="s">
        <v>8</v>
      </c>
      <c r="G115" s="41" t="s">
        <v>9</v>
      </c>
      <c r="H115" s="38" t="s">
        <v>63</v>
      </c>
    </row>
    <row r="116" spans="1:8" ht="15.75">
      <c r="A116" s="87"/>
      <c r="B116" s="43"/>
      <c r="C116" s="44"/>
      <c r="D116" s="45" t="s">
        <v>11</v>
      </c>
      <c r="E116" s="46" t="s">
        <v>64</v>
      </c>
      <c r="F116" s="46" t="s">
        <v>65</v>
      </c>
      <c r="G116" s="46" t="s">
        <v>66</v>
      </c>
      <c r="H116" s="157" t="s">
        <v>15</v>
      </c>
    </row>
    <row r="117" spans="1:8" ht="15.75">
      <c r="A117" s="21">
        <v>1</v>
      </c>
      <c r="B117" s="43" t="s">
        <v>189</v>
      </c>
      <c r="C117" s="43">
        <v>0</v>
      </c>
      <c r="D117" s="180">
        <v>0</v>
      </c>
      <c r="E117" s="181">
        <v>28.858</v>
      </c>
      <c r="F117" s="181">
        <v>14.429</v>
      </c>
      <c r="G117" s="181">
        <v>234.728</v>
      </c>
      <c r="H117" s="43">
        <v>975</v>
      </c>
    </row>
    <row r="118" spans="1:8" ht="15.75">
      <c r="A118" s="21">
        <f>+A117+1</f>
        <v>2</v>
      </c>
      <c r="B118" s="43" t="s">
        <v>192</v>
      </c>
      <c r="C118" s="43">
        <v>26</v>
      </c>
      <c r="D118" s="180">
        <v>88.85</v>
      </c>
      <c r="E118" s="181">
        <v>5.326</v>
      </c>
      <c r="F118" s="181">
        <v>77.228</v>
      </c>
      <c r="G118" s="181">
        <v>3356.767</v>
      </c>
      <c r="H118" s="43">
        <v>209</v>
      </c>
    </row>
    <row r="119" spans="1:8" ht="15.75">
      <c r="A119" s="21">
        <f>+A118+1</f>
        <v>3</v>
      </c>
      <c r="B119" s="43" t="s">
        <v>193</v>
      </c>
      <c r="C119" s="43">
        <v>16</v>
      </c>
      <c r="D119" s="180">
        <v>17.25</v>
      </c>
      <c r="E119" s="181">
        <v>1409.702</v>
      </c>
      <c r="F119" s="181">
        <v>844.746</v>
      </c>
      <c r="G119" s="181">
        <v>14101.303</v>
      </c>
      <c r="H119" s="43">
        <v>4586</v>
      </c>
    </row>
    <row r="120" spans="1:8" ht="15.75">
      <c r="A120" s="21">
        <v>4</v>
      </c>
      <c r="B120" s="43" t="s">
        <v>222</v>
      </c>
      <c r="C120" s="43">
        <v>0</v>
      </c>
      <c r="D120" s="180">
        <v>0</v>
      </c>
      <c r="E120" s="181">
        <v>74.173</v>
      </c>
      <c r="F120" s="181">
        <v>437.082</v>
      </c>
      <c r="G120" s="181">
        <v>3134.796</v>
      </c>
      <c r="H120" s="43">
        <v>1277</v>
      </c>
    </row>
    <row r="121" spans="1:8" ht="15.75">
      <c r="A121" s="21">
        <v>5</v>
      </c>
      <c r="B121" s="43" t="s">
        <v>200</v>
      </c>
      <c r="C121" s="43">
        <v>16</v>
      </c>
      <c r="D121" s="180">
        <v>16</v>
      </c>
      <c r="E121" s="181">
        <v>540.582</v>
      </c>
      <c r="F121" s="181">
        <v>2297.473</v>
      </c>
      <c r="G121" s="181">
        <v>6189.133</v>
      </c>
      <c r="H121" s="43">
        <v>7425</v>
      </c>
    </row>
    <row r="122" spans="1:8" ht="15.75">
      <c r="A122" s="59"/>
      <c r="B122" s="74" t="s">
        <v>80</v>
      </c>
      <c r="C122" s="74">
        <f aca="true" t="shared" si="13" ref="C122:H122">SUM(C117:C121)</f>
        <v>58</v>
      </c>
      <c r="D122" s="183">
        <f t="shared" si="13"/>
        <v>122.1</v>
      </c>
      <c r="E122" s="74">
        <f t="shared" si="13"/>
        <v>2058.641</v>
      </c>
      <c r="F122" s="74">
        <f t="shared" si="13"/>
        <v>3670.958</v>
      </c>
      <c r="G122" s="74">
        <f t="shared" si="13"/>
        <v>27016.727</v>
      </c>
      <c r="H122" s="74">
        <f t="shared" si="13"/>
        <v>14472</v>
      </c>
    </row>
    <row r="123" spans="1:8" ht="15.75">
      <c r="A123" s="67"/>
      <c r="B123" s="68"/>
      <c r="C123" s="69"/>
      <c r="D123" s="70"/>
      <c r="E123" s="71"/>
      <c r="F123" s="71"/>
      <c r="G123" s="71"/>
      <c r="H123" s="69"/>
    </row>
    <row r="124" spans="1:8" ht="15.75">
      <c r="A124" s="30"/>
      <c r="B124" s="31"/>
      <c r="C124" s="32"/>
      <c r="D124" s="33" t="s">
        <v>212</v>
      </c>
      <c r="E124" s="34"/>
      <c r="F124" s="34"/>
      <c r="G124" s="34"/>
      <c r="H124" s="32"/>
    </row>
    <row r="125" spans="1:8" ht="31.5">
      <c r="A125" s="156" t="s">
        <v>61</v>
      </c>
      <c r="B125" s="38" t="s">
        <v>62</v>
      </c>
      <c r="C125" s="38" t="s">
        <v>5</v>
      </c>
      <c r="D125" s="39" t="s">
        <v>6</v>
      </c>
      <c r="E125" s="40" t="s">
        <v>7</v>
      </c>
      <c r="F125" s="41" t="s">
        <v>8</v>
      </c>
      <c r="G125" s="41" t="s">
        <v>9</v>
      </c>
      <c r="H125" s="38" t="s">
        <v>63</v>
      </c>
    </row>
    <row r="126" spans="1:8" ht="15.75">
      <c r="A126" s="87"/>
      <c r="B126" s="43"/>
      <c r="C126" s="44"/>
      <c r="D126" s="45" t="s">
        <v>11</v>
      </c>
      <c r="E126" s="46" t="s">
        <v>64</v>
      </c>
      <c r="F126" s="46" t="s">
        <v>65</v>
      </c>
      <c r="G126" s="46" t="s">
        <v>66</v>
      </c>
      <c r="H126" s="157" t="s">
        <v>15</v>
      </c>
    </row>
    <row r="127" spans="1:8" ht="15.75">
      <c r="A127" s="193">
        <v>1</v>
      </c>
      <c r="B127" s="43" t="s">
        <v>185</v>
      </c>
      <c r="C127" s="43">
        <v>0</v>
      </c>
      <c r="D127" s="180">
        <v>0</v>
      </c>
      <c r="E127" s="181">
        <v>148</v>
      </c>
      <c r="F127" s="181">
        <v>44.4</v>
      </c>
      <c r="G127" s="181">
        <v>232</v>
      </c>
      <c r="H127" s="43">
        <v>0</v>
      </c>
    </row>
    <row r="128" spans="1:8" ht="15.75">
      <c r="A128" s="73">
        <v>2</v>
      </c>
      <c r="B128" s="43" t="s">
        <v>193</v>
      </c>
      <c r="C128" s="43">
        <v>0</v>
      </c>
      <c r="D128" s="180">
        <v>0</v>
      </c>
      <c r="E128" s="181">
        <v>20</v>
      </c>
      <c r="F128" s="181">
        <v>10</v>
      </c>
      <c r="G128" s="181">
        <v>160</v>
      </c>
      <c r="H128" s="43">
        <v>0</v>
      </c>
    </row>
    <row r="129" spans="1:8" ht="15.75">
      <c r="A129" s="21">
        <v>3</v>
      </c>
      <c r="B129" s="43" t="s">
        <v>200</v>
      </c>
      <c r="C129" s="43">
        <v>366</v>
      </c>
      <c r="D129" s="180">
        <v>1086.03</v>
      </c>
      <c r="E129" s="181">
        <v>1666.67</v>
      </c>
      <c r="F129" s="181">
        <v>6666.67</v>
      </c>
      <c r="G129" s="181">
        <v>69608</v>
      </c>
      <c r="H129" s="43">
        <v>3660</v>
      </c>
    </row>
    <row r="130" spans="1:8" ht="15.75">
      <c r="A130" s="59"/>
      <c r="B130" s="65" t="s">
        <v>80</v>
      </c>
      <c r="C130" s="216">
        <f aca="true" t="shared" si="14" ref="C130:H130">SUM(C127:C129)</f>
        <v>366</v>
      </c>
      <c r="D130" s="217">
        <f t="shared" si="14"/>
        <v>1086.03</v>
      </c>
      <c r="E130" s="218">
        <f t="shared" si="14"/>
        <v>1834.67</v>
      </c>
      <c r="F130" s="218">
        <f t="shared" si="14"/>
        <v>6721.07</v>
      </c>
      <c r="G130" s="218">
        <f t="shared" si="14"/>
        <v>70000</v>
      </c>
      <c r="H130" s="216">
        <f t="shared" si="14"/>
        <v>3660</v>
      </c>
    </row>
    <row r="131" spans="1:8" ht="15.75">
      <c r="A131" s="67"/>
      <c r="B131" s="68"/>
      <c r="C131" s="69"/>
      <c r="D131" s="70"/>
      <c r="E131" s="71"/>
      <c r="F131" s="71"/>
      <c r="G131" s="71"/>
      <c r="H131" s="69"/>
    </row>
    <row r="132" spans="1:8" ht="15.75">
      <c r="A132" s="30"/>
      <c r="B132" s="31"/>
      <c r="C132" s="32"/>
      <c r="D132" s="33" t="s">
        <v>217</v>
      </c>
      <c r="E132" s="34"/>
      <c r="F132" s="34"/>
      <c r="G132" s="34"/>
      <c r="H132" s="32"/>
    </row>
    <row r="133" spans="1:8" ht="31.5">
      <c r="A133" s="156" t="s">
        <v>61</v>
      </c>
      <c r="B133" s="38" t="s">
        <v>62</v>
      </c>
      <c r="C133" s="38" t="s">
        <v>5</v>
      </c>
      <c r="D133" s="39" t="s">
        <v>6</v>
      </c>
      <c r="E133" s="40" t="s">
        <v>7</v>
      </c>
      <c r="F133" s="41" t="s">
        <v>8</v>
      </c>
      <c r="G133" s="41" t="s">
        <v>9</v>
      </c>
      <c r="H133" s="38" t="s">
        <v>63</v>
      </c>
    </row>
    <row r="134" spans="1:8" ht="15.75">
      <c r="A134" s="87"/>
      <c r="B134" s="43"/>
      <c r="C134" s="44"/>
      <c r="D134" s="45" t="s">
        <v>11</v>
      </c>
      <c r="E134" s="46" t="s">
        <v>64</v>
      </c>
      <c r="F134" s="46" t="s">
        <v>65</v>
      </c>
      <c r="G134" s="46" t="s">
        <v>66</v>
      </c>
      <c r="H134" s="157" t="s">
        <v>15</v>
      </c>
    </row>
    <row r="135" spans="1:8" ht="15.75">
      <c r="A135" s="73">
        <v>1</v>
      </c>
      <c r="B135" s="43" t="s">
        <v>188</v>
      </c>
      <c r="C135" s="43">
        <v>0</v>
      </c>
      <c r="D135" s="180">
        <v>0</v>
      </c>
      <c r="E135" s="181">
        <v>0</v>
      </c>
      <c r="F135" s="181">
        <v>0</v>
      </c>
      <c r="G135" s="181">
        <v>5.075</v>
      </c>
      <c r="H135" s="43">
        <v>0</v>
      </c>
    </row>
    <row r="136" spans="1:8" ht="15.75">
      <c r="A136" s="73">
        <v>2</v>
      </c>
      <c r="B136" s="43" t="s">
        <v>189</v>
      </c>
      <c r="C136" s="43">
        <v>0</v>
      </c>
      <c r="D136" s="180">
        <v>0</v>
      </c>
      <c r="E136" s="181">
        <v>45</v>
      </c>
      <c r="F136" s="181">
        <v>22.5</v>
      </c>
      <c r="G136" s="181">
        <v>360</v>
      </c>
      <c r="H136" s="43">
        <v>0</v>
      </c>
    </row>
    <row r="137" spans="1:8" s="20" customFormat="1" ht="15.75">
      <c r="A137" s="73">
        <v>3</v>
      </c>
      <c r="B137" s="43" t="s">
        <v>190</v>
      </c>
      <c r="C137" s="43">
        <v>27</v>
      </c>
      <c r="D137" s="180">
        <v>34.62</v>
      </c>
      <c r="E137" s="181">
        <v>276.66</v>
      </c>
      <c r="F137" s="181">
        <v>229.628</v>
      </c>
      <c r="G137" s="181">
        <v>12515.321</v>
      </c>
      <c r="H137" s="43">
        <v>270</v>
      </c>
    </row>
    <row r="138" spans="1:8" s="20" customFormat="1" ht="15.75">
      <c r="A138" s="73">
        <v>4</v>
      </c>
      <c r="B138" s="43" t="s">
        <v>192</v>
      </c>
      <c r="C138" s="43">
        <v>12</v>
      </c>
      <c r="D138" s="180">
        <v>31.4688</v>
      </c>
      <c r="E138" s="181">
        <v>4.67</v>
      </c>
      <c r="F138" s="181">
        <v>2.38</v>
      </c>
      <c r="G138" s="181">
        <v>1190.222</v>
      </c>
      <c r="H138" s="43">
        <v>48</v>
      </c>
    </row>
    <row r="139" spans="1:8" s="20" customFormat="1" ht="15.75">
      <c r="A139" s="73">
        <v>5</v>
      </c>
      <c r="B139" s="43" t="s">
        <v>193</v>
      </c>
      <c r="C139" s="43">
        <v>41</v>
      </c>
      <c r="D139" s="180">
        <v>42.68</v>
      </c>
      <c r="E139" s="181">
        <v>85.215</v>
      </c>
      <c r="F139" s="181">
        <v>34.08</v>
      </c>
      <c r="G139" s="181">
        <v>2378.009</v>
      </c>
      <c r="H139" s="43">
        <v>133</v>
      </c>
    </row>
    <row r="140" spans="1:8" s="20" customFormat="1" ht="15.75">
      <c r="A140" s="73">
        <v>6</v>
      </c>
      <c r="B140" s="43" t="s">
        <v>222</v>
      </c>
      <c r="C140" s="43">
        <v>0</v>
      </c>
      <c r="D140" s="180">
        <v>0</v>
      </c>
      <c r="E140" s="181">
        <v>7.453</v>
      </c>
      <c r="F140" s="181">
        <v>3.726</v>
      </c>
      <c r="G140" s="181">
        <v>59.625</v>
      </c>
      <c r="H140" s="43">
        <v>0</v>
      </c>
    </row>
    <row r="141" spans="1:8" s="20" customFormat="1" ht="15.75">
      <c r="A141" s="73">
        <v>7</v>
      </c>
      <c r="B141" s="43" t="s">
        <v>200</v>
      </c>
      <c r="C141" s="43">
        <v>404</v>
      </c>
      <c r="D141" s="180">
        <v>588.71</v>
      </c>
      <c r="E141" s="181">
        <v>238.84</v>
      </c>
      <c r="F141" s="181">
        <v>1433.04</v>
      </c>
      <c r="G141" s="181">
        <v>19738.622</v>
      </c>
      <c r="H141" s="43">
        <v>8080</v>
      </c>
    </row>
    <row r="142" spans="1:8" s="20" customFormat="1" ht="15.75">
      <c r="A142" s="73">
        <v>8</v>
      </c>
      <c r="B142" s="43" t="s">
        <v>203</v>
      </c>
      <c r="C142" s="43">
        <v>4</v>
      </c>
      <c r="D142" s="180">
        <v>4</v>
      </c>
      <c r="E142" s="181">
        <v>0.875</v>
      </c>
      <c r="F142" s="181">
        <v>3.5</v>
      </c>
      <c r="G142" s="181">
        <v>158.137</v>
      </c>
      <c r="H142" s="43">
        <v>12</v>
      </c>
    </row>
    <row r="143" spans="1:8" s="20" customFormat="1" ht="15.75">
      <c r="A143" s="73">
        <v>9</v>
      </c>
      <c r="B143" s="43" t="s">
        <v>223</v>
      </c>
      <c r="C143" s="43">
        <v>0</v>
      </c>
      <c r="D143" s="180">
        <v>0</v>
      </c>
      <c r="E143" s="181">
        <v>0</v>
      </c>
      <c r="F143" s="181">
        <v>0</v>
      </c>
      <c r="G143" s="181">
        <v>7700.05</v>
      </c>
      <c r="H143" s="43">
        <v>0</v>
      </c>
    </row>
    <row r="144" spans="1:8" ht="15.75">
      <c r="A144" s="59"/>
      <c r="B144" s="65" t="s">
        <v>80</v>
      </c>
      <c r="C144" s="210">
        <f aca="true" t="shared" si="15" ref="C144:H144">SUM(C135:C143)</f>
        <v>488</v>
      </c>
      <c r="D144" s="217">
        <f t="shared" si="15"/>
        <v>701.4788000000001</v>
      </c>
      <c r="E144" s="210">
        <f t="shared" si="15"/>
        <v>658.7130000000001</v>
      </c>
      <c r="F144" s="210">
        <f t="shared" si="15"/>
        <v>1728.8539999999998</v>
      </c>
      <c r="G144" s="210">
        <f t="shared" si="15"/>
        <v>44105.061</v>
      </c>
      <c r="H144" s="210">
        <f t="shared" si="15"/>
        <v>8543</v>
      </c>
    </row>
    <row r="145" spans="1:8" ht="15.75">
      <c r="A145" s="67"/>
      <c r="B145" s="68"/>
      <c r="C145" s="69"/>
      <c r="D145" s="70"/>
      <c r="E145" s="71"/>
      <c r="F145" s="71"/>
      <c r="G145" s="71"/>
      <c r="H145" s="69"/>
    </row>
    <row r="146" spans="1:8" ht="15.75">
      <c r="A146" s="75"/>
      <c r="B146" s="89"/>
      <c r="C146" s="90"/>
      <c r="D146" s="91"/>
      <c r="E146" s="92"/>
      <c r="F146" s="92"/>
      <c r="G146" s="92"/>
      <c r="H146" s="90"/>
    </row>
    <row r="147" spans="1:8" ht="15.75">
      <c r="A147" s="75"/>
      <c r="B147" s="89"/>
      <c r="C147" s="90"/>
      <c r="D147" s="81" t="s">
        <v>164</v>
      </c>
      <c r="E147" s="92"/>
      <c r="F147" s="92"/>
      <c r="G147" s="92"/>
      <c r="H147" s="90"/>
    </row>
    <row r="148" spans="1:8" s="89" customFormat="1" ht="15.75">
      <c r="A148" s="43" t="s">
        <v>61</v>
      </c>
      <c r="B148" s="43" t="s">
        <v>62</v>
      </c>
      <c r="C148" s="43" t="s">
        <v>5</v>
      </c>
      <c r="D148" s="43" t="s">
        <v>6</v>
      </c>
      <c r="E148" s="181" t="s">
        <v>7</v>
      </c>
      <c r="F148" s="181" t="s">
        <v>8</v>
      </c>
      <c r="G148" s="181" t="s">
        <v>9</v>
      </c>
      <c r="H148" s="43" t="s">
        <v>63</v>
      </c>
    </row>
    <row r="149" spans="1:8" s="89" customFormat="1" ht="15.75">
      <c r="A149" s="43"/>
      <c r="B149" s="43"/>
      <c r="C149" s="43"/>
      <c r="D149" s="43" t="s">
        <v>11</v>
      </c>
      <c r="E149" s="181" t="s">
        <v>64</v>
      </c>
      <c r="F149" s="181" t="s">
        <v>65</v>
      </c>
      <c r="G149" s="181" t="s">
        <v>66</v>
      </c>
      <c r="H149" s="43" t="s">
        <v>15</v>
      </c>
    </row>
    <row r="150" spans="1:8" s="89" customFormat="1" ht="15.75">
      <c r="A150" s="43">
        <v>1</v>
      </c>
      <c r="B150" s="43" t="s">
        <v>185</v>
      </c>
      <c r="C150" s="43">
        <v>0</v>
      </c>
      <c r="D150" s="180">
        <v>0</v>
      </c>
      <c r="E150" s="181">
        <v>173.648</v>
      </c>
      <c r="F150" s="181">
        <v>86.82</v>
      </c>
      <c r="G150" s="181">
        <v>261.472</v>
      </c>
      <c r="H150" s="43">
        <v>150</v>
      </c>
    </row>
    <row r="151" spans="1:8" s="89" customFormat="1" ht="15.75">
      <c r="A151" s="43">
        <f aca="true" t="shared" si="16" ref="A151:A157">+A150+1</f>
        <v>2</v>
      </c>
      <c r="B151" s="43" t="s">
        <v>189</v>
      </c>
      <c r="C151" s="43">
        <v>0</v>
      </c>
      <c r="D151" s="180">
        <v>0</v>
      </c>
      <c r="E151" s="181">
        <v>618.705</v>
      </c>
      <c r="F151" s="181">
        <v>278.417</v>
      </c>
      <c r="G151" s="181">
        <v>5633.397</v>
      </c>
      <c r="H151" s="43">
        <v>260</v>
      </c>
    </row>
    <row r="152" spans="1:8" s="89" customFormat="1" ht="15.75">
      <c r="A152" s="43">
        <f t="shared" si="16"/>
        <v>3</v>
      </c>
      <c r="B152" s="43" t="s">
        <v>190</v>
      </c>
      <c r="C152" s="43">
        <v>4</v>
      </c>
      <c r="D152" s="180">
        <v>4.27</v>
      </c>
      <c r="E152" s="181">
        <v>58.134</v>
      </c>
      <c r="F152" s="181">
        <v>105.827</v>
      </c>
      <c r="G152" s="181">
        <v>2675.701</v>
      </c>
      <c r="H152" s="43">
        <v>20</v>
      </c>
    </row>
    <row r="153" spans="1:8" s="89" customFormat="1" ht="15.75">
      <c r="A153" s="43">
        <f t="shared" si="16"/>
        <v>4</v>
      </c>
      <c r="B153" s="43" t="s">
        <v>191</v>
      </c>
      <c r="C153" s="43">
        <v>0</v>
      </c>
      <c r="D153" s="180">
        <v>0</v>
      </c>
      <c r="E153" s="181">
        <v>68.628</v>
      </c>
      <c r="F153" s="181">
        <v>343.138</v>
      </c>
      <c r="G153" s="181">
        <v>8749.759</v>
      </c>
      <c r="H153" s="43">
        <v>500</v>
      </c>
    </row>
    <row r="154" spans="1:8" s="89" customFormat="1" ht="15.75">
      <c r="A154" s="43">
        <f t="shared" si="16"/>
        <v>5</v>
      </c>
      <c r="B154" s="43" t="s">
        <v>192</v>
      </c>
      <c r="C154" s="43">
        <v>26</v>
      </c>
      <c r="D154" s="180">
        <v>4.68</v>
      </c>
      <c r="E154" s="181">
        <f>1.975+1.362</f>
        <v>3.337</v>
      </c>
      <c r="F154" s="181">
        <f>23.7+1.362</f>
        <v>25.061999999999998</v>
      </c>
      <c r="G154" s="181">
        <f>471.183+668.109</f>
        <v>1139.292</v>
      </c>
      <c r="H154" s="43">
        <v>30</v>
      </c>
    </row>
    <row r="155" spans="1:8" s="89" customFormat="1" ht="15.75">
      <c r="A155" s="43">
        <f t="shared" si="16"/>
        <v>6</v>
      </c>
      <c r="B155" s="43" t="s">
        <v>193</v>
      </c>
      <c r="C155" s="43">
        <v>0</v>
      </c>
      <c r="D155" s="180">
        <v>0</v>
      </c>
      <c r="E155" s="181">
        <f>1835.531+0.2+66.5+3</f>
        <v>1905.231</v>
      </c>
      <c r="F155" s="181">
        <f>1101.32+0.1+3.325+0.18</f>
        <v>1104.925</v>
      </c>
      <c r="G155" s="181">
        <f>11706.328+42.915+760.4</f>
        <v>12509.643</v>
      </c>
      <c r="H155" s="43">
        <v>1420</v>
      </c>
    </row>
    <row r="156" spans="1:8" s="89" customFormat="1" ht="15.75">
      <c r="A156" s="43">
        <f t="shared" si="16"/>
        <v>7</v>
      </c>
      <c r="B156" s="43" t="s">
        <v>222</v>
      </c>
      <c r="C156" s="43">
        <v>0</v>
      </c>
      <c r="D156" s="180">
        <v>0</v>
      </c>
      <c r="E156" s="181">
        <f>1+11924.025</f>
        <v>11925.025</v>
      </c>
      <c r="F156" s="181">
        <f>0.6+3577.207</f>
        <v>3577.807</v>
      </c>
      <c r="G156" s="181">
        <f>10.25+18920.51</f>
        <v>18930.76</v>
      </c>
      <c r="H156" s="43">
        <v>235</v>
      </c>
    </row>
    <row r="157" spans="1:8" s="89" customFormat="1" ht="15.75">
      <c r="A157" s="43">
        <f t="shared" si="16"/>
        <v>8</v>
      </c>
      <c r="B157" s="43" t="s">
        <v>200</v>
      </c>
      <c r="C157" s="43">
        <v>0</v>
      </c>
      <c r="D157" s="180">
        <v>0</v>
      </c>
      <c r="E157" s="181">
        <v>0</v>
      </c>
      <c r="F157" s="181">
        <v>0</v>
      </c>
      <c r="G157" s="181">
        <v>3539.678</v>
      </c>
      <c r="H157" s="43">
        <v>0</v>
      </c>
    </row>
    <row r="158" spans="1:8" s="89" customFormat="1" ht="15.75">
      <c r="A158" s="196">
        <v>9</v>
      </c>
      <c r="B158" s="43" t="s">
        <v>223</v>
      </c>
      <c r="C158" s="43">
        <v>0</v>
      </c>
      <c r="D158" s="180">
        <v>0</v>
      </c>
      <c r="E158" s="181">
        <v>0</v>
      </c>
      <c r="F158" s="181">
        <v>0</v>
      </c>
      <c r="G158" s="181">
        <v>2018.812</v>
      </c>
      <c r="H158" s="43">
        <v>0</v>
      </c>
    </row>
    <row r="159" spans="1:8" s="89" customFormat="1" ht="15.75">
      <c r="A159" s="43"/>
      <c r="B159" s="74" t="s">
        <v>80</v>
      </c>
      <c r="C159" s="74">
        <f aca="true" t="shared" si="17" ref="C159:H159">SUM(C150:C158)</f>
        <v>30</v>
      </c>
      <c r="D159" s="74">
        <f t="shared" si="17"/>
        <v>8.95</v>
      </c>
      <c r="E159" s="74">
        <f t="shared" si="17"/>
        <v>14752.707999999999</v>
      </c>
      <c r="F159" s="74">
        <f t="shared" si="17"/>
        <v>5521.995999999999</v>
      </c>
      <c r="G159" s="74">
        <f t="shared" si="17"/>
        <v>55458.513999999996</v>
      </c>
      <c r="H159" s="74">
        <f t="shared" si="17"/>
        <v>2615</v>
      </c>
    </row>
    <row r="160" spans="1:8" ht="15.75">
      <c r="A160" s="75"/>
      <c r="B160" s="89"/>
      <c r="C160" s="90"/>
      <c r="D160" s="91"/>
      <c r="E160" s="92"/>
      <c r="F160" s="92"/>
      <c r="G160" s="92"/>
      <c r="H160" s="90"/>
    </row>
    <row r="161" spans="1:8" ht="15.75">
      <c r="A161" s="75"/>
      <c r="B161" s="89"/>
      <c r="C161" s="90"/>
      <c r="D161" s="91"/>
      <c r="E161" s="92"/>
      <c r="F161" s="92"/>
      <c r="G161" s="92"/>
      <c r="H161" s="90"/>
    </row>
    <row r="162" spans="1:8" ht="15.75">
      <c r="A162" s="30"/>
      <c r="B162" s="31"/>
      <c r="C162" s="32"/>
      <c r="D162" s="33" t="s">
        <v>213</v>
      </c>
      <c r="E162" s="34"/>
      <c r="F162" s="34"/>
      <c r="G162" s="34"/>
      <c r="H162" s="32"/>
    </row>
    <row r="163" spans="1:8" ht="31.5">
      <c r="A163" s="156" t="s">
        <v>61</v>
      </c>
      <c r="B163" s="38" t="s">
        <v>62</v>
      </c>
      <c r="C163" s="38" t="s">
        <v>5</v>
      </c>
      <c r="D163" s="39" t="s">
        <v>6</v>
      </c>
      <c r="E163" s="40" t="s">
        <v>7</v>
      </c>
      <c r="F163" s="41" t="s">
        <v>8</v>
      </c>
      <c r="G163" s="41" t="s">
        <v>9</v>
      </c>
      <c r="H163" s="38" t="s">
        <v>63</v>
      </c>
    </row>
    <row r="164" spans="1:8" ht="15.75">
      <c r="A164" s="87"/>
      <c r="B164" s="43"/>
      <c r="C164" s="44"/>
      <c r="D164" s="45" t="s">
        <v>11</v>
      </c>
      <c r="E164" s="46" t="s">
        <v>64</v>
      </c>
      <c r="F164" s="46" t="s">
        <v>65</v>
      </c>
      <c r="G164" s="46" t="s">
        <v>66</v>
      </c>
      <c r="H164" s="157" t="s">
        <v>15</v>
      </c>
    </row>
    <row r="165" spans="1:8" ht="15.75">
      <c r="A165" s="73">
        <v>1</v>
      </c>
      <c r="B165" s="43" t="s">
        <v>185</v>
      </c>
      <c r="C165" s="43">
        <v>0</v>
      </c>
      <c r="D165" s="180">
        <v>0</v>
      </c>
      <c r="E165" s="181">
        <v>369.625</v>
      </c>
      <c r="F165" s="181">
        <v>110.888</v>
      </c>
      <c r="G165" s="181">
        <v>3038</v>
      </c>
      <c r="H165" s="43">
        <v>300</v>
      </c>
    </row>
    <row r="166" spans="1:8" ht="15.75">
      <c r="A166" s="21">
        <f>+A165+1</f>
        <v>2</v>
      </c>
      <c r="B166" s="43" t="s">
        <v>189</v>
      </c>
      <c r="C166" s="43">
        <v>0</v>
      </c>
      <c r="D166" s="180">
        <v>0</v>
      </c>
      <c r="E166" s="181">
        <v>0</v>
      </c>
      <c r="F166" s="181">
        <v>0</v>
      </c>
      <c r="G166" s="181">
        <v>56</v>
      </c>
      <c r="H166" s="43">
        <v>0</v>
      </c>
    </row>
    <row r="167" spans="1:8" ht="15.75">
      <c r="A167" s="21">
        <f>+A166+1</f>
        <v>3</v>
      </c>
      <c r="B167" s="43" t="s">
        <v>193</v>
      </c>
      <c r="C167" s="43">
        <v>25</v>
      </c>
      <c r="D167" s="180">
        <v>551.75</v>
      </c>
      <c r="E167" s="181">
        <v>28.93</v>
      </c>
      <c r="F167" s="181">
        <v>14.465</v>
      </c>
      <c r="G167" s="181">
        <v>3792</v>
      </c>
      <c r="H167" s="43">
        <v>125</v>
      </c>
    </row>
    <row r="168" spans="1:8" ht="15.75">
      <c r="A168" s="21">
        <f>+A167+1</f>
        <v>4</v>
      </c>
      <c r="B168" s="43" t="s">
        <v>200</v>
      </c>
      <c r="C168" s="43">
        <v>147</v>
      </c>
      <c r="D168" s="180">
        <v>13198</v>
      </c>
      <c r="E168" s="181">
        <v>196.404</v>
      </c>
      <c r="F168" s="181">
        <v>746.335</v>
      </c>
      <c r="G168" s="181">
        <v>41974</v>
      </c>
      <c r="H168" s="43">
        <v>1905</v>
      </c>
    </row>
    <row r="169" spans="1:8" ht="15.75">
      <c r="A169" s="59"/>
      <c r="B169" s="65" t="s">
        <v>80</v>
      </c>
      <c r="C169" s="210">
        <f aca="true" t="shared" si="18" ref="C169:H169">SUM(C165:C168)</f>
        <v>172</v>
      </c>
      <c r="D169" s="210">
        <f t="shared" si="18"/>
        <v>13749.75</v>
      </c>
      <c r="E169" s="210">
        <f t="shared" si="18"/>
        <v>594.9590000000001</v>
      </c>
      <c r="F169" s="210">
        <f t="shared" si="18"/>
        <v>871.6880000000001</v>
      </c>
      <c r="G169" s="218">
        <f t="shared" si="18"/>
        <v>48860</v>
      </c>
      <c r="H169" s="210">
        <f t="shared" si="18"/>
        <v>2330</v>
      </c>
    </row>
    <row r="170" spans="1:8" ht="15.75">
      <c r="A170" s="67"/>
      <c r="B170" s="68"/>
      <c r="C170" s="69"/>
      <c r="D170" s="70"/>
      <c r="E170" s="71"/>
      <c r="F170" s="71"/>
      <c r="G170" s="71"/>
      <c r="H170" s="69"/>
    </row>
    <row r="171" spans="1:8" ht="15.75">
      <c r="A171" s="75"/>
      <c r="B171" s="89"/>
      <c r="C171" s="90"/>
      <c r="D171" s="91"/>
      <c r="E171" s="92"/>
      <c r="F171" s="92"/>
      <c r="G171" s="92"/>
      <c r="H171" s="90"/>
    </row>
    <row r="172" spans="1:8" ht="15.75">
      <c r="A172" s="30"/>
      <c r="B172" s="31"/>
      <c r="C172" s="32"/>
      <c r="D172" s="33" t="s">
        <v>169</v>
      </c>
      <c r="E172" s="34"/>
      <c r="F172" s="34"/>
      <c r="G172" s="34"/>
      <c r="H172" s="32"/>
    </row>
    <row r="173" spans="1:8" ht="31.5">
      <c r="A173" s="156" t="s">
        <v>61</v>
      </c>
      <c r="B173" s="38" t="s">
        <v>62</v>
      </c>
      <c r="C173" s="38" t="s">
        <v>5</v>
      </c>
      <c r="D173" s="39" t="s">
        <v>6</v>
      </c>
      <c r="E173" s="40" t="s">
        <v>7</v>
      </c>
      <c r="F173" s="41" t="s">
        <v>8</v>
      </c>
      <c r="G173" s="41" t="s">
        <v>9</v>
      </c>
      <c r="H173" s="38" t="s">
        <v>63</v>
      </c>
    </row>
    <row r="174" spans="1:8" ht="15.75">
      <c r="A174" s="87"/>
      <c r="B174" s="43"/>
      <c r="C174" s="44"/>
      <c r="D174" s="45" t="s">
        <v>11</v>
      </c>
      <c r="E174" s="46" t="s">
        <v>64</v>
      </c>
      <c r="F174" s="46" t="s">
        <v>65</v>
      </c>
      <c r="G174" s="46" t="s">
        <v>66</v>
      </c>
      <c r="H174" s="157" t="s">
        <v>15</v>
      </c>
    </row>
    <row r="175" spans="1:8" ht="15.75">
      <c r="A175" s="73">
        <v>1</v>
      </c>
      <c r="B175" s="43" t="s">
        <v>189</v>
      </c>
      <c r="C175" s="43">
        <v>0</v>
      </c>
      <c r="D175" s="180">
        <v>0</v>
      </c>
      <c r="E175" s="181">
        <v>89.844</v>
      </c>
      <c r="F175" s="181">
        <v>134.766</v>
      </c>
      <c r="G175" s="181">
        <v>741.8</v>
      </c>
      <c r="H175" s="43">
        <v>100</v>
      </c>
    </row>
    <row r="176" spans="1:8" ht="15.75">
      <c r="A176" s="21">
        <f>+A175+1</f>
        <v>2</v>
      </c>
      <c r="B176" s="43" t="s">
        <v>193</v>
      </c>
      <c r="C176" s="43">
        <v>9</v>
      </c>
      <c r="D176" s="180">
        <v>9</v>
      </c>
      <c r="E176" s="181">
        <v>69.844</v>
      </c>
      <c r="F176" s="181">
        <v>34.922</v>
      </c>
      <c r="G176" s="181">
        <f>565.691</f>
        <v>565.691</v>
      </c>
      <c r="H176" s="43">
        <v>50</v>
      </c>
    </row>
    <row r="177" spans="1:8" ht="15.75">
      <c r="A177" s="21">
        <f>+A176+1</f>
        <v>3</v>
      </c>
      <c r="B177" s="43" t="s">
        <v>196</v>
      </c>
      <c r="C177" s="43">
        <v>0</v>
      </c>
      <c r="D177" s="180">
        <v>0</v>
      </c>
      <c r="E177" s="181">
        <v>14.375</v>
      </c>
      <c r="F177" s="181">
        <v>107.813</v>
      </c>
      <c r="G177" s="181">
        <v>366.31</v>
      </c>
      <c r="H177" s="43">
        <v>150</v>
      </c>
    </row>
    <row r="178" spans="1:8" ht="15.75">
      <c r="A178" s="21">
        <f>+A177+1</f>
        <v>4</v>
      </c>
      <c r="B178" s="43" t="s">
        <v>201</v>
      </c>
      <c r="C178" s="43">
        <v>116</v>
      </c>
      <c r="D178" s="180">
        <v>116.257</v>
      </c>
      <c r="E178" s="181">
        <v>151.626</v>
      </c>
      <c r="F178" s="181">
        <v>2274.39</v>
      </c>
      <c r="G178" s="181">
        <v>23793.186</v>
      </c>
      <c r="H178" s="43">
        <v>1500</v>
      </c>
    </row>
    <row r="179" spans="1:8" ht="15.75">
      <c r="A179" s="196">
        <v>5</v>
      </c>
      <c r="B179" s="43" t="s">
        <v>223</v>
      </c>
      <c r="C179" s="43">
        <v>0</v>
      </c>
      <c r="D179" s="180">
        <v>0</v>
      </c>
      <c r="E179" s="181">
        <v>0</v>
      </c>
      <c r="F179" s="181">
        <v>0</v>
      </c>
      <c r="G179" s="181">
        <v>10620.113</v>
      </c>
      <c r="H179" s="43">
        <v>0</v>
      </c>
    </row>
    <row r="180" spans="1:8" ht="15.75">
      <c r="A180" s="21"/>
      <c r="B180" s="74" t="s">
        <v>80</v>
      </c>
      <c r="C180" s="126">
        <f aca="true" t="shared" si="19" ref="C180:H180">SUM(C175:C179)</f>
        <v>125</v>
      </c>
      <c r="D180" s="127">
        <f t="shared" si="19"/>
        <v>125.257</v>
      </c>
      <c r="E180" s="126">
        <f t="shared" si="19"/>
        <v>325.68899999999996</v>
      </c>
      <c r="F180" s="126">
        <f t="shared" si="19"/>
        <v>2551.8909999999996</v>
      </c>
      <c r="G180" s="128">
        <f t="shared" si="19"/>
        <v>36087.1</v>
      </c>
      <c r="H180" s="126">
        <f t="shared" si="19"/>
        <v>1800</v>
      </c>
    </row>
    <row r="181" spans="1:8" ht="15.75">
      <c r="A181" s="75"/>
      <c r="B181" s="76"/>
      <c r="C181" s="208"/>
      <c r="D181" s="211"/>
      <c r="E181" s="212"/>
      <c r="F181" s="212"/>
      <c r="G181" s="212"/>
      <c r="H181" s="208"/>
    </row>
    <row r="182" spans="1:8" ht="15.75">
      <c r="A182" s="30"/>
      <c r="B182" s="31"/>
      <c r="C182" s="32"/>
      <c r="D182" s="33" t="s">
        <v>165</v>
      </c>
      <c r="E182" s="34"/>
      <c r="F182" s="34"/>
      <c r="G182" s="34"/>
      <c r="H182" s="32"/>
    </row>
    <row r="183" spans="1:8" ht="31.5">
      <c r="A183" s="156" t="s">
        <v>61</v>
      </c>
      <c r="B183" s="38" t="s">
        <v>62</v>
      </c>
      <c r="C183" s="38" t="s">
        <v>5</v>
      </c>
      <c r="D183" s="39" t="s">
        <v>6</v>
      </c>
      <c r="E183" s="40" t="s">
        <v>7</v>
      </c>
      <c r="F183" s="41" t="s">
        <v>8</v>
      </c>
      <c r="G183" s="41" t="s">
        <v>9</v>
      </c>
      <c r="H183" s="38" t="s">
        <v>63</v>
      </c>
    </row>
    <row r="184" spans="1:8" ht="15.75">
      <c r="A184" s="87"/>
      <c r="B184" s="43"/>
      <c r="C184" s="44"/>
      <c r="D184" s="45" t="s">
        <v>11</v>
      </c>
      <c r="E184" s="46" t="s">
        <v>64</v>
      </c>
      <c r="F184" s="46" t="s">
        <v>65</v>
      </c>
      <c r="G184" s="46" t="s">
        <v>66</v>
      </c>
      <c r="H184" s="157" t="s">
        <v>15</v>
      </c>
    </row>
    <row r="185" spans="1:8" ht="15.75">
      <c r="A185" s="73">
        <v>1</v>
      </c>
      <c r="B185" s="43" t="s">
        <v>185</v>
      </c>
      <c r="C185" s="43">
        <v>0</v>
      </c>
      <c r="D185" s="180">
        <v>0</v>
      </c>
      <c r="E185" s="181">
        <v>0.5</v>
      </c>
      <c r="F185" s="181">
        <v>0.75</v>
      </c>
      <c r="G185" s="181">
        <v>26.2</v>
      </c>
      <c r="H185" s="43">
        <v>2</v>
      </c>
    </row>
    <row r="186" spans="1:8" ht="15.75">
      <c r="A186" s="21">
        <f>+A185+1</f>
        <v>2</v>
      </c>
      <c r="B186" s="43" t="s">
        <v>189</v>
      </c>
      <c r="C186" s="43">
        <v>0</v>
      </c>
      <c r="D186" s="180">
        <v>0</v>
      </c>
      <c r="E186" s="181">
        <v>288.96</v>
      </c>
      <c r="F186" s="181">
        <v>72.24</v>
      </c>
      <c r="G186" s="181">
        <v>2275.567</v>
      </c>
      <c r="H186" s="43">
        <v>105</v>
      </c>
    </row>
    <row r="187" spans="1:8" ht="15.75">
      <c r="A187" s="21">
        <f>+A186+1</f>
        <v>3</v>
      </c>
      <c r="B187" s="43" t="s">
        <v>190</v>
      </c>
      <c r="C187" s="43">
        <v>34</v>
      </c>
      <c r="D187" s="180">
        <v>7779.63</v>
      </c>
      <c r="E187" s="181">
        <v>1805.446</v>
      </c>
      <c r="F187" s="181">
        <v>2959.334</v>
      </c>
      <c r="G187" s="181">
        <v>74880.222</v>
      </c>
      <c r="H187" s="43">
        <v>570</v>
      </c>
    </row>
    <row r="188" spans="1:8" ht="15.75">
      <c r="A188" s="21">
        <f>+A187+1</f>
        <v>4</v>
      </c>
      <c r="B188" s="43" t="s">
        <v>193</v>
      </c>
      <c r="C188" s="43">
        <v>58</v>
      </c>
      <c r="D188" s="180">
        <v>58</v>
      </c>
      <c r="E188" s="181">
        <v>187.5</v>
      </c>
      <c r="F188" s="181">
        <v>112.5</v>
      </c>
      <c r="G188" s="181">
        <f>1239.118</f>
        <v>1239.118</v>
      </c>
      <c r="H188" s="43">
        <v>400</v>
      </c>
    </row>
    <row r="189" spans="1:8" ht="15.75">
      <c r="A189" s="196">
        <v>5</v>
      </c>
      <c r="B189" s="43" t="s">
        <v>223</v>
      </c>
      <c r="C189" s="43">
        <v>0</v>
      </c>
      <c r="D189" s="180">
        <v>0</v>
      </c>
      <c r="E189" s="181">
        <v>0</v>
      </c>
      <c r="F189" s="181">
        <v>0</v>
      </c>
      <c r="G189" s="181">
        <v>3014.203</v>
      </c>
      <c r="H189" s="43">
        <v>0</v>
      </c>
    </row>
    <row r="190" spans="1:8" ht="15.75">
      <c r="A190" s="59"/>
      <c r="B190" s="65" t="s">
        <v>80</v>
      </c>
      <c r="C190" s="210">
        <f aca="true" t="shared" si="20" ref="C190:H190">SUM(C185:C189)</f>
        <v>92</v>
      </c>
      <c r="D190" s="210">
        <f t="shared" si="20"/>
        <v>7837.63</v>
      </c>
      <c r="E190" s="210">
        <f t="shared" si="20"/>
        <v>2282.406</v>
      </c>
      <c r="F190" s="210">
        <f t="shared" si="20"/>
        <v>3144.8239999999996</v>
      </c>
      <c r="G190" s="218">
        <f t="shared" si="20"/>
        <v>81435.31</v>
      </c>
      <c r="H190" s="210">
        <f t="shared" si="20"/>
        <v>1077</v>
      </c>
    </row>
    <row r="191" spans="1:8" ht="15.75">
      <c r="A191" s="67"/>
      <c r="B191" s="68"/>
      <c r="C191" s="69"/>
      <c r="D191" s="70"/>
      <c r="E191" s="71"/>
      <c r="F191" s="71"/>
      <c r="G191" s="71"/>
      <c r="H191" s="69"/>
    </row>
    <row r="192" spans="1:8" ht="15.75">
      <c r="A192" s="30"/>
      <c r="B192" s="31"/>
      <c r="C192" s="32"/>
      <c r="D192" s="33" t="s">
        <v>156</v>
      </c>
      <c r="E192" s="34"/>
      <c r="F192" s="34"/>
      <c r="G192" s="34"/>
      <c r="H192" s="32"/>
    </row>
    <row r="193" spans="1:8" ht="31.5">
      <c r="A193" s="156" t="s">
        <v>61</v>
      </c>
      <c r="B193" s="38" t="s">
        <v>62</v>
      </c>
      <c r="C193" s="38" t="s">
        <v>5</v>
      </c>
      <c r="D193" s="39" t="s">
        <v>6</v>
      </c>
      <c r="E193" s="40" t="s">
        <v>7</v>
      </c>
      <c r="F193" s="41" t="s">
        <v>8</v>
      </c>
      <c r="G193" s="41" t="s">
        <v>9</v>
      </c>
      <c r="H193" s="38" t="s">
        <v>63</v>
      </c>
    </row>
    <row r="194" spans="1:8" ht="15.75">
      <c r="A194" s="87"/>
      <c r="B194" s="43"/>
      <c r="C194" s="44"/>
      <c r="D194" s="45" t="s">
        <v>11</v>
      </c>
      <c r="E194" s="46" t="s">
        <v>64</v>
      </c>
      <c r="F194" s="46" t="s">
        <v>65</v>
      </c>
      <c r="G194" s="46" t="s">
        <v>66</v>
      </c>
      <c r="H194" s="157" t="s">
        <v>15</v>
      </c>
    </row>
    <row r="195" spans="1:8" ht="15.75">
      <c r="A195" s="73">
        <v>1</v>
      </c>
      <c r="B195" s="43" t="s">
        <v>188</v>
      </c>
      <c r="C195" s="43">
        <v>76</v>
      </c>
      <c r="D195" s="180">
        <v>201.24</v>
      </c>
      <c r="E195" s="181">
        <v>47.454</v>
      </c>
      <c r="F195" s="181">
        <v>949.08</v>
      </c>
      <c r="G195" s="181">
        <v>6169</v>
      </c>
      <c r="H195" s="43">
        <v>228</v>
      </c>
    </row>
    <row r="196" spans="1:8" ht="15.75">
      <c r="A196" s="21">
        <f>+A195+1</f>
        <v>2</v>
      </c>
      <c r="B196" s="43" t="s">
        <v>189</v>
      </c>
      <c r="C196" s="43">
        <v>0</v>
      </c>
      <c r="D196" s="180">
        <v>0</v>
      </c>
      <c r="E196" s="181">
        <f>185.75+412</f>
        <v>597.75</v>
      </c>
      <c r="F196" s="181">
        <v>477.2</v>
      </c>
      <c r="G196" s="181">
        <v>2522</v>
      </c>
      <c r="H196" s="43">
        <v>0</v>
      </c>
    </row>
    <row r="197" spans="1:8" ht="15.75">
      <c r="A197" s="21">
        <v>3</v>
      </c>
      <c r="B197" s="43" t="s">
        <v>191</v>
      </c>
      <c r="C197" s="43">
        <v>294</v>
      </c>
      <c r="D197" s="180">
        <v>295.06</v>
      </c>
      <c r="E197" s="181">
        <v>170.533</v>
      </c>
      <c r="F197" s="181">
        <v>511.6</v>
      </c>
      <c r="G197" s="181">
        <v>12289.886</v>
      </c>
      <c r="H197" s="43">
        <v>1470</v>
      </c>
    </row>
    <row r="198" spans="1:8" ht="15.75">
      <c r="A198" s="21">
        <f>+A197+1</f>
        <v>4</v>
      </c>
      <c r="B198" s="43" t="s">
        <v>192</v>
      </c>
      <c r="C198" s="43">
        <v>100</v>
      </c>
      <c r="D198" s="180">
        <v>291.42</v>
      </c>
      <c r="E198" s="181">
        <v>94.953</v>
      </c>
      <c r="F198" s="181">
        <v>569.718</v>
      </c>
      <c r="G198" s="181">
        <v>15479</v>
      </c>
      <c r="H198" s="43">
        <v>500</v>
      </c>
    </row>
    <row r="199" spans="1:8" ht="15.75">
      <c r="A199" s="21">
        <f>+A198+1</f>
        <v>5</v>
      </c>
      <c r="B199" s="43" t="s">
        <v>193</v>
      </c>
      <c r="C199" s="43">
        <v>23</v>
      </c>
      <c r="D199" s="180">
        <v>23</v>
      </c>
      <c r="E199" s="181">
        <v>661.625</v>
      </c>
      <c r="F199" s="181">
        <v>165.406</v>
      </c>
      <c r="G199" s="181">
        <v>6315.55</v>
      </c>
      <c r="H199" s="43">
        <v>70</v>
      </c>
    </row>
    <row r="200" spans="1:8" ht="15.75">
      <c r="A200" s="21">
        <f>+A199+1</f>
        <v>6</v>
      </c>
      <c r="B200" s="43" t="s">
        <v>222</v>
      </c>
      <c r="C200" s="43">
        <v>0</v>
      </c>
      <c r="D200" s="180">
        <v>0</v>
      </c>
      <c r="E200" s="181">
        <f>162.25+315.25</f>
        <v>477.5</v>
      </c>
      <c r="F200" s="181">
        <v>286.5</v>
      </c>
      <c r="G200" s="181">
        <v>2110.95</v>
      </c>
      <c r="H200" s="43">
        <v>0</v>
      </c>
    </row>
    <row r="201" spans="1:8" ht="15.75">
      <c r="A201" s="59"/>
      <c r="B201" s="65" t="s">
        <v>80</v>
      </c>
      <c r="C201" s="210">
        <f aca="true" t="shared" si="21" ref="C201:H201">SUM(C195:C200)</f>
        <v>493</v>
      </c>
      <c r="D201" s="210">
        <f t="shared" si="21"/>
        <v>810.72</v>
      </c>
      <c r="E201" s="210">
        <f t="shared" si="21"/>
        <v>2049.815</v>
      </c>
      <c r="F201" s="210">
        <f t="shared" si="21"/>
        <v>2959.504</v>
      </c>
      <c r="G201" s="210">
        <f t="shared" si="21"/>
        <v>44886.386</v>
      </c>
      <c r="H201" s="210">
        <f t="shared" si="21"/>
        <v>2268</v>
      </c>
    </row>
    <row r="202" spans="1:8" ht="15.75">
      <c r="A202" s="67"/>
      <c r="B202" s="68"/>
      <c r="C202" s="69"/>
      <c r="D202" s="70"/>
      <c r="E202" s="71"/>
      <c r="F202" s="71"/>
      <c r="G202" s="71"/>
      <c r="H202" s="69"/>
    </row>
    <row r="203" spans="1:8" ht="15.75">
      <c r="A203" s="30"/>
      <c r="B203" s="31"/>
      <c r="C203" s="32"/>
      <c r="D203" s="33" t="s">
        <v>211</v>
      </c>
      <c r="E203" s="34"/>
      <c r="F203" s="34"/>
      <c r="G203" s="34"/>
      <c r="H203" s="32"/>
    </row>
    <row r="204" spans="1:8" ht="31.5">
      <c r="A204" s="156" t="s">
        <v>61</v>
      </c>
      <c r="B204" s="38" t="s">
        <v>62</v>
      </c>
      <c r="C204" s="38" t="s">
        <v>5</v>
      </c>
      <c r="D204" s="39" t="s">
        <v>6</v>
      </c>
      <c r="E204" s="40" t="s">
        <v>7</v>
      </c>
      <c r="F204" s="41" t="s">
        <v>8</v>
      </c>
      <c r="G204" s="41" t="s">
        <v>9</v>
      </c>
      <c r="H204" s="38" t="s">
        <v>63</v>
      </c>
    </row>
    <row r="205" spans="1:8" ht="15.75">
      <c r="A205" s="87"/>
      <c r="B205" s="43"/>
      <c r="C205" s="44"/>
      <c r="D205" s="45" t="s">
        <v>11</v>
      </c>
      <c r="E205" s="46" t="s">
        <v>64</v>
      </c>
      <c r="F205" s="46" t="s">
        <v>65</v>
      </c>
      <c r="G205" s="46" t="s">
        <v>66</v>
      </c>
      <c r="H205" s="157" t="s">
        <v>15</v>
      </c>
    </row>
    <row r="206" spans="1:8" ht="15.75">
      <c r="A206" s="73">
        <v>1</v>
      </c>
      <c r="B206" s="43" t="s">
        <v>184</v>
      </c>
      <c r="C206" s="43">
        <v>3</v>
      </c>
      <c r="D206" s="180">
        <v>3</v>
      </c>
      <c r="E206" s="181">
        <v>0.194</v>
      </c>
      <c r="F206" s="181">
        <v>1.164</v>
      </c>
      <c r="G206" s="181">
        <v>36.205</v>
      </c>
      <c r="H206" s="43">
        <v>0</v>
      </c>
    </row>
    <row r="207" spans="1:8" ht="15.75">
      <c r="A207" s="73">
        <v>2</v>
      </c>
      <c r="B207" s="43" t="s">
        <v>186</v>
      </c>
      <c r="C207" s="43">
        <v>1</v>
      </c>
      <c r="D207" s="180">
        <v>5</v>
      </c>
      <c r="E207" s="181">
        <v>0</v>
      </c>
      <c r="F207" s="181">
        <v>0</v>
      </c>
      <c r="G207" s="181">
        <v>1.5</v>
      </c>
      <c r="H207" s="43">
        <v>0</v>
      </c>
    </row>
    <row r="208" spans="1:8" ht="15.75">
      <c r="A208" s="21">
        <f>+A206+1</f>
        <v>2</v>
      </c>
      <c r="B208" s="43" t="s">
        <v>189</v>
      </c>
      <c r="C208" s="43">
        <v>0</v>
      </c>
      <c r="D208" s="180">
        <v>0</v>
      </c>
      <c r="E208" s="181">
        <v>770.561</v>
      </c>
      <c r="F208" s="181">
        <v>462.336</v>
      </c>
      <c r="G208" s="181">
        <v>7504.762</v>
      </c>
      <c r="H208" s="43">
        <v>300</v>
      </c>
    </row>
    <row r="209" spans="1:8" ht="15.75">
      <c r="A209" s="21">
        <f>+A208+1</f>
        <v>3</v>
      </c>
      <c r="B209" s="43" t="s">
        <v>190</v>
      </c>
      <c r="C209" s="43">
        <v>2</v>
      </c>
      <c r="D209" s="180">
        <v>2</v>
      </c>
      <c r="E209" s="181">
        <v>1.65</v>
      </c>
      <c r="F209" s="181">
        <v>7.425</v>
      </c>
      <c r="G209" s="181">
        <v>74.675</v>
      </c>
      <c r="H209" s="43">
        <v>32</v>
      </c>
    </row>
    <row r="210" spans="1:8" ht="15.75">
      <c r="A210" s="21">
        <f>+A209+1</f>
        <v>4</v>
      </c>
      <c r="B210" s="43" t="s">
        <v>191</v>
      </c>
      <c r="C210" s="43">
        <v>33</v>
      </c>
      <c r="D210" s="180">
        <v>170.89</v>
      </c>
      <c r="E210" s="181">
        <v>533.042</v>
      </c>
      <c r="F210" s="181">
        <v>3464.773</v>
      </c>
      <c r="G210" s="181">
        <v>6103.488</v>
      </c>
      <c r="H210" s="43">
        <v>364</v>
      </c>
    </row>
    <row r="211" spans="1:8" ht="15.75">
      <c r="A211" s="21">
        <f>+A210+1</f>
        <v>5</v>
      </c>
      <c r="B211" s="43" t="s">
        <v>193</v>
      </c>
      <c r="C211" s="43">
        <v>18</v>
      </c>
      <c r="D211" s="180">
        <v>18</v>
      </c>
      <c r="E211" s="181">
        <v>2614.725</v>
      </c>
      <c r="F211" s="181">
        <v>1568.835</v>
      </c>
      <c r="G211" s="181">
        <v>17929.979</v>
      </c>
      <c r="H211" s="43">
        <v>580</v>
      </c>
    </row>
    <row r="212" spans="1:8" ht="15.75">
      <c r="A212" s="21">
        <f>+A211+1</f>
        <v>6</v>
      </c>
      <c r="B212" s="43" t="s">
        <v>222</v>
      </c>
      <c r="C212" s="43">
        <v>0</v>
      </c>
      <c r="D212" s="180">
        <v>0</v>
      </c>
      <c r="E212" s="181">
        <v>1170.336</v>
      </c>
      <c r="F212" s="181">
        <v>702.202</v>
      </c>
      <c r="G212" s="181">
        <v>8966.3</v>
      </c>
      <c r="H212" s="43">
        <v>250</v>
      </c>
    </row>
    <row r="213" spans="1:8" ht="15.75">
      <c r="A213" s="21">
        <f>+A212+1</f>
        <v>7</v>
      </c>
      <c r="B213" s="43" t="s">
        <v>200</v>
      </c>
      <c r="C213" s="43">
        <v>61</v>
      </c>
      <c r="D213" s="180">
        <v>95.94</v>
      </c>
      <c r="E213" s="181">
        <v>25.809</v>
      </c>
      <c r="F213" s="181">
        <v>129.05</v>
      </c>
      <c r="G213" s="181">
        <v>3456.156</v>
      </c>
      <c r="H213" s="43">
        <v>60</v>
      </c>
    </row>
    <row r="214" spans="1:8" ht="15.75">
      <c r="A214" s="196">
        <v>8</v>
      </c>
      <c r="B214" s="43" t="s">
        <v>223</v>
      </c>
      <c r="C214" s="43">
        <v>0</v>
      </c>
      <c r="D214" s="180">
        <v>0</v>
      </c>
      <c r="E214" s="181">
        <v>0</v>
      </c>
      <c r="F214" s="181">
        <v>0</v>
      </c>
      <c r="G214" s="181">
        <v>11229.92</v>
      </c>
      <c r="H214" s="43">
        <v>0</v>
      </c>
    </row>
    <row r="215" spans="1:8" ht="15.75">
      <c r="A215" s="21"/>
      <c r="B215" s="74" t="s">
        <v>80</v>
      </c>
      <c r="C215" s="126">
        <f aca="true" t="shared" si="22" ref="C215:H215">SUM(C206:C214)</f>
        <v>118</v>
      </c>
      <c r="D215" s="126">
        <f t="shared" si="22"/>
        <v>294.83</v>
      </c>
      <c r="E215" s="126">
        <f t="shared" si="22"/>
        <v>5116.317</v>
      </c>
      <c r="F215" s="126">
        <f t="shared" si="22"/>
        <v>6335.785000000001</v>
      </c>
      <c r="G215" s="126">
        <f t="shared" si="22"/>
        <v>55302.985</v>
      </c>
      <c r="H215" s="126">
        <f t="shared" si="22"/>
        <v>1586</v>
      </c>
    </row>
    <row r="216" spans="1:8" ht="15.75">
      <c r="A216" s="75"/>
      <c r="B216" s="76"/>
      <c r="C216" s="208"/>
      <c r="D216" s="211"/>
      <c r="E216" s="212"/>
      <c r="F216" s="212"/>
      <c r="G216" s="212"/>
      <c r="H216" s="208"/>
    </row>
    <row r="217" spans="1:8" ht="15.75">
      <c r="A217" s="30"/>
      <c r="B217" s="31"/>
      <c r="C217" s="32"/>
      <c r="D217" s="33" t="s">
        <v>146</v>
      </c>
      <c r="E217" s="34"/>
      <c r="F217" s="34"/>
      <c r="G217" s="34"/>
      <c r="H217" s="32"/>
    </row>
    <row r="218" spans="1:8" ht="31.5">
      <c r="A218" s="156" t="s">
        <v>61</v>
      </c>
      <c r="B218" s="38" t="s">
        <v>62</v>
      </c>
      <c r="C218" s="38" t="s">
        <v>5</v>
      </c>
      <c r="D218" s="39" t="s">
        <v>6</v>
      </c>
      <c r="E218" s="40" t="s">
        <v>7</v>
      </c>
      <c r="F218" s="41" t="s">
        <v>8</v>
      </c>
      <c r="G218" s="41" t="s">
        <v>9</v>
      </c>
      <c r="H218" s="38" t="s">
        <v>63</v>
      </c>
    </row>
    <row r="219" spans="1:8" ht="15.75">
      <c r="A219" s="87"/>
      <c r="B219" s="43"/>
      <c r="C219" s="44"/>
      <c r="D219" s="45" t="s">
        <v>11</v>
      </c>
      <c r="E219" s="46" t="s">
        <v>64</v>
      </c>
      <c r="F219" s="46" t="s">
        <v>65</v>
      </c>
      <c r="G219" s="46" t="s">
        <v>66</v>
      </c>
      <c r="H219" s="157" t="s">
        <v>15</v>
      </c>
    </row>
    <row r="220" spans="1:8" ht="15.75">
      <c r="A220" s="73">
        <v>1</v>
      </c>
      <c r="B220" s="43" t="s">
        <v>185</v>
      </c>
      <c r="C220" s="43">
        <v>0</v>
      </c>
      <c r="D220" s="180">
        <v>0</v>
      </c>
      <c r="E220" s="181">
        <v>2550.75</v>
      </c>
      <c r="F220" s="181">
        <v>637.68</v>
      </c>
      <c r="G220" s="181">
        <v>20799</v>
      </c>
      <c r="H220" s="43">
        <v>2350</v>
      </c>
    </row>
    <row r="221" spans="1:8" ht="15.75">
      <c r="A221" s="21">
        <v>2</v>
      </c>
      <c r="B221" s="43" t="s">
        <v>188</v>
      </c>
      <c r="C221" s="43">
        <v>3</v>
      </c>
      <c r="D221" s="180">
        <v>5.88</v>
      </c>
      <c r="E221" s="181">
        <v>0.825</v>
      </c>
      <c r="F221" s="181">
        <v>2.47</v>
      </c>
      <c r="G221" s="181">
        <v>119</v>
      </c>
      <c r="H221" s="43">
        <v>5</v>
      </c>
    </row>
    <row r="222" spans="1:8" ht="15.75">
      <c r="A222" s="21">
        <v>3</v>
      </c>
      <c r="B222" s="43" t="s">
        <v>189</v>
      </c>
      <c r="C222" s="43">
        <v>0</v>
      </c>
      <c r="D222" s="180">
        <v>0</v>
      </c>
      <c r="E222" s="181">
        <v>1540.5</v>
      </c>
      <c r="F222" s="181">
        <v>462</v>
      </c>
      <c r="G222" s="181">
        <v>17934</v>
      </c>
      <c r="H222" s="43">
        <v>8000</v>
      </c>
    </row>
    <row r="223" spans="1:8" ht="15.75">
      <c r="A223" s="21">
        <v>4</v>
      </c>
      <c r="B223" s="43" t="s">
        <v>190</v>
      </c>
      <c r="C223" s="43">
        <v>8</v>
      </c>
      <c r="D223" s="180">
        <v>20.4</v>
      </c>
      <c r="E223" s="181">
        <v>0</v>
      </c>
      <c r="F223" s="181">
        <v>0</v>
      </c>
      <c r="G223" s="181">
        <v>153</v>
      </c>
      <c r="H223" s="43">
        <v>3</v>
      </c>
    </row>
    <row r="224" spans="1:8" ht="15.75">
      <c r="A224" s="21">
        <v>5</v>
      </c>
      <c r="B224" s="43" t="s">
        <v>192</v>
      </c>
      <c r="C224" s="43">
        <v>34</v>
      </c>
      <c r="D224" s="180">
        <v>56.51</v>
      </c>
      <c r="E224" s="181">
        <v>4.375</v>
      </c>
      <c r="F224" s="181">
        <v>10.93</v>
      </c>
      <c r="G224" s="181">
        <v>672</v>
      </c>
      <c r="H224" s="43">
        <v>15</v>
      </c>
    </row>
    <row r="225" spans="1:8" ht="15.75">
      <c r="A225" s="21">
        <v>6</v>
      </c>
      <c r="B225" s="43" t="s">
        <v>193</v>
      </c>
      <c r="C225" s="43">
        <v>722</v>
      </c>
      <c r="D225" s="180">
        <f>916-124.65</f>
        <v>791.35</v>
      </c>
      <c r="E225" s="181">
        <v>7640.2</v>
      </c>
      <c r="F225" s="181">
        <v>3056.08</v>
      </c>
      <c r="G225" s="181">
        <v>99464</v>
      </c>
      <c r="H225" s="43">
        <v>3500</v>
      </c>
    </row>
    <row r="226" spans="1:8" ht="15.75">
      <c r="A226" s="21">
        <v>7</v>
      </c>
      <c r="B226" s="43" t="s">
        <v>196</v>
      </c>
      <c r="C226" s="219">
        <v>1</v>
      </c>
      <c r="D226" s="220">
        <v>124.65</v>
      </c>
      <c r="E226" s="181">
        <v>0</v>
      </c>
      <c r="F226" s="181">
        <v>0</v>
      </c>
      <c r="G226" s="181">
        <v>0</v>
      </c>
      <c r="H226" s="43">
        <v>0</v>
      </c>
    </row>
    <row r="227" spans="1:8" ht="15.75">
      <c r="A227" s="21">
        <v>8</v>
      </c>
      <c r="B227" s="43" t="s">
        <v>203</v>
      </c>
      <c r="C227" s="43">
        <v>1</v>
      </c>
      <c r="D227" s="180">
        <v>1</v>
      </c>
      <c r="E227" s="181">
        <v>0</v>
      </c>
      <c r="F227" s="181">
        <v>0</v>
      </c>
      <c r="G227" s="181">
        <v>35</v>
      </c>
      <c r="H227" s="43">
        <v>1</v>
      </c>
    </row>
    <row r="228" spans="1:8" ht="15.75">
      <c r="A228" s="196">
        <v>9</v>
      </c>
      <c r="B228" s="43" t="s">
        <v>223</v>
      </c>
      <c r="C228" s="43">
        <v>0</v>
      </c>
      <c r="D228" s="180">
        <v>0</v>
      </c>
      <c r="E228" s="181">
        <v>0</v>
      </c>
      <c r="F228" s="181">
        <v>0</v>
      </c>
      <c r="G228" s="181">
        <v>69016.5</v>
      </c>
      <c r="H228" s="43">
        <v>0</v>
      </c>
    </row>
    <row r="229" spans="1:8" ht="15.75">
      <c r="A229" s="59"/>
      <c r="B229" s="65" t="s">
        <v>80</v>
      </c>
      <c r="C229" s="210">
        <f aca="true" t="shared" si="23" ref="C229:H229">SUM(C220:C228)</f>
        <v>769</v>
      </c>
      <c r="D229" s="210">
        <f t="shared" si="23"/>
        <v>999.79</v>
      </c>
      <c r="E229" s="218">
        <f t="shared" si="23"/>
        <v>11736.65</v>
      </c>
      <c r="F229" s="218">
        <f t="shared" si="23"/>
        <v>4169.16</v>
      </c>
      <c r="G229" s="218">
        <f t="shared" si="23"/>
        <v>208192.5</v>
      </c>
      <c r="H229" s="210">
        <f t="shared" si="23"/>
        <v>13874</v>
      </c>
    </row>
    <row r="230" spans="1:8" ht="15.75">
      <c r="A230" s="67"/>
      <c r="B230" s="68"/>
      <c r="C230" s="69"/>
      <c r="D230" s="70"/>
      <c r="E230" s="71"/>
      <c r="F230" s="71"/>
      <c r="G230" s="71"/>
      <c r="H230" s="120"/>
    </row>
    <row r="231" spans="1:8" ht="15.75">
      <c r="A231" s="75"/>
      <c r="B231" s="89"/>
      <c r="C231" s="90"/>
      <c r="D231" s="91"/>
      <c r="E231" s="92"/>
      <c r="F231" s="92"/>
      <c r="G231" s="92"/>
      <c r="H231" s="90"/>
    </row>
    <row r="232" spans="1:8" ht="15.75">
      <c r="A232" s="30"/>
      <c r="B232" s="31"/>
      <c r="C232" s="32"/>
      <c r="D232" s="33" t="s">
        <v>170</v>
      </c>
      <c r="E232" s="34"/>
      <c r="F232" s="34"/>
      <c r="G232" s="34"/>
      <c r="H232" s="32"/>
    </row>
    <row r="233" spans="1:8" ht="31.5">
      <c r="A233" s="156" t="s">
        <v>61</v>
      </c>
      <c r="B233" s="38" t="s">
        <v>62</v>
      </c>
      <c r="C233" s="38" t="s">
        <v>5</v>
      </c>
      <c r="D233" s="39" t="s">
        <v>6</v>
      </c>
      <c r="E233" s="40" t="s">
        <v>7</v>
      </c>
      <c r="F233" s="41" t="s">
        <v>8</v>
      </c>
      <c r="G233" s="41" t="s">
        <v>9</v>
      </c>
      <c r="H233" s="38" t="s">
        <v>63</v>
      </c>
    </row>
    <row r="234" spans="1:8" ht="15.75">
      <c r="A234" s="87"/>
      <c r="B234" s="43"/>
      <c r="C234" s="44"/>
      <c r="D234" s="45" t="s">
        <v>11</v>
      </c>
      <c r="E234" s="46" t="s">
        <v>64</v>
      </c>
      <c r="F234" s="46" t="s">
        <v>65</v>
      </c>
      <c r="G234" s="46" t="s">
        <v>66</v>
      </c>
      <c r="H234" s="157" t="s">
        <v>15</v>
      </c>
    </row>
    <row r="235" spans="1:8" ht="15.75">
      <c r="A235" s="73">
        <v>1</v>
      </c>
      <c r="B235" s="43" t="s">
        <v>188</v>
      </c>
      <c r="C235" s="43">
        <v>294</v>
      </c>
      <c r="D235" s="180">
        <v>515.66</v>
      </c>
      <c r="E235" s="181">
        <v>120.078</v>
      </c>
      <c r="F235" s="181">
        <v>600.39</v>
      </c>
      <c r="G235" s="181">
        <f>27816+253.5</f>
        <v>28069.5</v>
      </c>
      <c r="H235" s="43">
        <v>1470</v>
      </c>
    </row>
    <row r="236" spans="1:8" ht="15.75">
      <c r="A236" s="21">
        <v>2</v>
      </c>
      <c r="B236" s="43" t="s">
        <v>189</v>
      </c>
      <c r="C236" s="43">
        <v>0</v>
      </c>
      <c r="D236" s="180">
        <v>0</v>
      </c>
      <c r="E236" s="181">
        <v>416.875</v>
      </c>
      <c r="F236" s="181">
        <v>291.812</v>
      </c>
      <c r="G236" s="181">
        <v>3335</v>
      </c>
      <c r="H236" s="43">
        <v>0</v>
      </c>
    </row>
    <row r="237" spans="1:8" ht="15.75">
      <c r="A237" s="21">
        <v>3</v>
      </c>
      <c r="B237" s="43" t="s">
        <v>193</v>
      </c>
      <c r="C237" s="43">
        <v>175</v>
      </c>
      <c r="D237" s="180">
        <v>176.43</v>
      </c>
      <c r="E237" s="181">
        <v>570.705</v>
      </c>
      <c r="F237" s="181">
        <v>285.352</v>
      </c>
      <c r="G237" s="181">
        <f>14790+13.128</f>
        <v>14803.128</v>
      </c>
      <c r="H237" s="43">
        <v>875</v>
      </c>
    </row>
    <row r="238" spans="1:8" ht="15.75">
      <c r="A238" s="196">
        <v>4</v>
      </c>
      <c r="B238" s="43" t="s">
        <v>223</v>
      </c>
      <c r="C238" s="43">
        <v>0</v>
      </c>
      <c r="D238" s="180">
        <v>0</v>
      </c>
      <c r="E238" s="181">
        <v>0</v>
      </c>
      <c r="F238" s="181">
        <v>0</v>
      </c>
      <c r="G238" s="181">
        <v>9899</v>
      </c>
      <c r="H238" s="43">
        <v>0</v>
      </c>
    </row>
    <row r="239" spans="1:8" ht="15.75">
      <c r="A239" s="21"/>
      <c r="B239" s="74" t="s">
        <v>80</v>
      </c>
      <c r="C239" s="126">
        <f aca="true" t="shared" si="24" ref="C239:H239">SUM(C235:C238)</f>
        <v>469</v>
      </c>
      <c r="D239" s="126">
        <f t="shared" si="24"/>
        <v>692.0899999999999</v>
      </c>
      <c r="E239" s="126">
        <f t="shared" si="24"/>
        <v>1107.658</v>
      </c>
      <c r="F239" s="126">
        <f t="shared" si="24"/>
        <v>1177.554</v>
      </c>
      <c r="G239" s="126">
        <f t="shared" si="24"/>
        <v>56106.628</v>
      </c>
      <c r="H239" s="126">
        <f t="shared" si="24"/>
        <v>2345</v>
      </c>
    </row>
    <row r="240" spans="1:8" ht="15.75">
      <c r="A240" s="75"/>
      <c r="B240" s="89"/>
      <c r="C240" s="90"/>
      <c r="D240" s="91"/>
      <c r="E240" s="92"/>
      <c r="F240" s="92"/>
      <c r="G240" s="92"/>
      <c r="H240" s="90"/>
    </row>
    <row r="241" spans="1:8" ht="15.75">
      <c r="A241" s="30"/>
      <c r="B241" s="31"/>
      <c r="C241" s="32"/>
      <c r="D241" s="33" t="s">
        <v>176</v>
      </c>
      <c r="E241" s="34"/>
      <c r="F241" s="34"/>
      <c r="G241" s="34"/>
      <c r="H241" s="32"/>
    </row>
    <row r="242" spans="1:8" ht="31.5">
      <c r="A242" s="156" t="s">
        <v>61</v>
      </c>
      <c r="B242" s="38" t="s">
        <v>62</v>
      </c>
      <c r="C242" s="38" t="s">
        <v>5</v>
      </c>
      <c r="D242" s="39" t="s">
        <v>6</v>
      </c>
      <c r="E242" s="40" t="s">
        <v>7</v>
      </c>
      <c r="F242" s="41" t="s">
        <v>8</v>
      </c>
      <c r="G242" s="41" t="s">
        <v>9</v>
      </c>
      <c r="H242" s="38" t="s">
        <v>63</v>
      </c>
    </row>
    <row r="243" spans="1:8" ht="15.75">
      <c r="A243" s="87"/>
      <c r="B243" s="43"/>
      <c r="C243" s="44"/>
      <c r="D243" s="45" t="s">
        <v>11</v>
      </c>
      <c r="E243" s="46" t="s">
        <v>64</v>
      </c>
      <c r="F243" s="46" t="s">
        <v>65</v>
      </c>
      <c r="G243" s="46" t="s">
        <v>66</v>
      </c>
      <c r="H243" s="157" t="s">
        <v>15</v>
      </c>
    </row>
    <row r="244" spans="1:8" ht="15.75">
      <c r="A244" s="73">
        <v>1</v>
      </c>
      <c r="B244" s="43" t="s">
        <v>185</v>
      </c>
      <c r="C244" s="43">
        <v>6</v>
      </c>
      <c r="D244" s="180">
        <v>6</v>
      </c>
      <c r="E244" s="181">
        <v>0.76</v>
      </c>
      <c r="F244" s="181">
        <v>0.76</v>
      </c>
      <c r="G244" s="181">
        <v>22.29</v>
      </c>
      <c r="H244" s="43">
        <v>6</v>
      </c>
    </row>
    <row r="245" spans="1:8" ht="15.75">
      <c r="A245" s="21">
        <f>+A244+1</f>
        <v>2</v>
      </c>
      <c r="B245" s="43" t="s">
        <v>188</v>
      </c>
      <c r="C245" s="43">
        <v>20</v>
      </c>
      <c r="D245" s="180">
        <v>335.937</v>
      </c>
      <c r="E245" s="181">
        <v>7.267</v>
      </c>
      <c r="F245" s="181">
        <v>58.136</v>
      </c>
      <c r="G245" s="181">
        <v>1363.4</v>
      </c>
      <c r="H245" s="43">
        <v>60</v>
      </c>
    </row>
    <row r="246" spans="1:8" ht="15.75">
      <c r="A246" s="21">
        <v>3</v>
      </c>
      <c r="B246" s="43" t="s">
        <v>189</v>
      </c>
      <c r="C246" s="43">
        <v>0</v>
      </c>
      <c r="D246" s="180">
        <v>0</v>
      </c>
      <c r="E246" s="181">
        <v>2358.373</v>
      </c>
      <c r="F246" s="181">
        <v>1415.023</v>
      </c>
      <c r="G246" s="181">
        <v>1988.64</v>
      </c>
      <c r="H246" s="43">
        <v>0</v>
      </c>
    </row>
    <row r="247" spans="1:8" ht="15.75">
      <c r="A247" s="21">
        <f>+A246+1</f>
        <v>4</v>
      </c>
      <c r="B247" s="43" t="s">
        <v>190</v>
      </c>
      <c r="C247" s="43">
        <v>78</v>
      </c>
      <c r="D247" s="180">
        <v>1282.83</v>
      </c>
      <c r="E247" s="181">
        <v>551.179</v>
      </c>
      <c r="F247" s="181">
        <v>551.179</v>
      </c>
      <c r="G247" s="181">
        <v>32577.407</v>
      </c>
      <c r="H247" s="43">
        <v>546</v>
      </c>
    </row>
    <row r="248" spans="1:8" ht="15.75">
      <c r="A248" s="21">
        <v>5</v>
      </c>
      <c r="B248" s="43" t="s">
        <v>193</v>
      </c>
      <c r="C248" s="43">
        <v>72</v>
      </c>
      <c r="D248" s="180">
        <v>72</v>
      </c>
      <c r="E248" s="181">
        <f>457.748+180</f>
        <v>637.748</v>
      </c>
      <c r="F248" s="181">
        <v>343.311</v>
      </c>
      <c r="G248" s="181">
        <v>3046.039</v>
      </c>
      <c r="H248" s="43">
        <v>510</v>
      </c>
    </row>
    <row r="249" spans="1:8" ht="15.75">
      <c r="A249" s="21">
        <v>6</v>
      </c>
      <c r="B249" s="43" t="s">
        <v>198</v>
      </c>
      <c r="C249" s="43">
        <v>89</v>
      </c>
      <c r="D249" s="180">
        <v>89</v>
      </c>
      <c r="E249" s="181">
        <v>835</v>
      </c>
      <c r="F249" s="181">
        <v>626.25</v>
      </c>
      <c r="G249" s="181">
        <v>7009.793</v>
      </c>
      <c r="H249" s="43">
        <v>630</v>
      </c>
    </row>
    <row r="250" spans="1:8" ht="15.75">
      <c r="A250" s="21">
        <v>7</v>
      </c>
      <c r="B250" s="43" t="s">
        <v>200</v>
      </c>
      <c r="C250" s="43">
        <v>21</v>
      </c>
      <c r="D250" s="180">
        <v>29</v>
      </c>
      <c r="E250" s="181">
        <v>2385.773</v>
      </c>
      <c r="F250" s="181">
        <v>5964.432</v>
      </c>
      <c r="G250" s="181">
        <v>150737.852</v>
      </c>
      <c r="H250" s="43">
        <v>36500</v>
      </c>
    </row>
    <row r="251" spans="1:8" ht="15.75">
      <c r="A251" s="196">
        <v>8</v>
      </c>
      <c r="B251" s="43" t="s">
        <v>223</v>
      </c>
      <c r="C251" s="43">
        <v>0</v>
      </c>
      <c r="D251" s="180">
        <v>0</v>
      </c>
      <c r="E251" s="181">
        <v>0</v>
      </c>
      <c r="F251" s="181">
        <v>0</v>
      </c>
      <c r="G251" s="181">
        <v>17898.3</v>
      </c>
      <c r="H251" s="43">
        <v>0</v>
      </c>
    </row>
    <row r="252" spans="1:8" ht="15.75">
      <c r="A252" s="59"/>
      <c r="B252" s="65" t="s">
        <v>80</v>
      </c>
      <c r="C252" s="210">
        <f aca="true" t="shared" si="25" ref="C252:H252">SUM(C244:C251)</f>
        <v>286</v>
      </c>
      <c r="D252" s="217">
        <f t="shared" si="25"/>
        <v>1814.7669999999998</v>
      </c>
      <c r="E252" s="210">
        <f t="shared" si="25"/>
        <v>6776.1</v>
      </c>
      <c r="F252" s="210">
        <f t="shared" si="25"/>
        <v>8959.091</v>
      </c>
      <c r="G252" s="210">
        <f t="shared" si="25"/>
        <v>214643.721</v>
      </c>
      <c r="H252" s="210">
        <f t="shared" si="25"/>
        <v>38252</v>
      </c>
    </row>
    <row r="253" spans="1:8" ht="15.75">
      <c r="A253" s="67"/>
      <c r="B253" s="68"/>
      <c r="C253" s="69"/>
      <c r="D253" s="70"/>
      <c r="E253" s="71"/>
      <c r="F253" s="71"/>
      <c r="G253" s="71"/>
      <c r="H253" s="69"/>
    </row>
    <row r="254" spans="1:8" ht="15.75">
      <c r="A254" s="30"/>
      <c r="B254" s="31"/>
      <c r="C254" s="32"/>
      <c r="D254" s="33" t="s">
        <v>167</v>
      </c>
      <c r="E254" s="34"/>
      <c r="F254" s="34"/>
      <c r="G254" s="34"/>
      <c r="H254" s="32"/>
    </row>
    <row r="255" spans="1:8" ht="31.5">
      <c r="A255" s="156" t="s">
        <v>61</v>
      </c>
      <c r="B255" s="38" t="s">
        <v>62</v>
      </c>
      <c r="C255" s="38" t="s">
        <v>5</v>
      </c>
      <c r="D255" s="39" t="s">
        <v>6</v>
      </c>
      <c r="E255" s="40" t="s">
        <v>7</v>
      </c>
      <c r="F255" s="41" t="s">
        <v>8</v>
      </c>
      <c r="G255" s="41" t="s">
        <v>9</v>
      </c>
      <c r="H255" s="38" t="s">
        <v>63</v>
      </c>
    </row>
    <row r="256" spans="1:8" ht="15.75">
      <c r="A256" s="87"/>
      <c r="B256" s="43"/>
      <c r="C256" s="44"/>
      <c r="D256" s="45" t="s">
        <v>11</v>
      </c>
      <c r="E256" s="46" t="s">
        <v>64</v>
      </c>
      <c r="F256" s="46" t="s">
        <v>65</v>
      </c>
      <c r="G256" s="46" t="s">
        <v>66</v>
      </c>
      <c r="H256" s="157" t="s">
        <v>15</v>
      </c>
    </row>
    <row r="257" spans="1:8" ht="15.75">
      <c r="A257" s="73">
        <v>1</v>
      </c>
      <c r="B257" s="43" t="s">
        <v>185</v>
      </c>
      <c r="C257" s="43">
        <v>0</v>
      </c>
      <c r="D257" s="180">
        <v>0</v>
      </c>
      <c r="E257" s="181">
        <f>150+66.448</f>
        <v>216.44799999999998</v>
      </c>
      <c r="F257" s="181">
        <f>60+26.579</f>
        <v>86.57900000000001</v>
      </c>
      <c r="G257" s="181">
        <v>57</v>
      </c>
      <c r="H257" s="43">
        <v>30</v>
      </c>
    </row>
    <row r="258" spans="1:8" ht="15.75">
      <c r="A258" s="21">
        <v>2</v>
      </c>
      <c r="B258" s="43" t="s">
        <v>189</v>
      </c>
      <c r="C258" s="43">
        <v>0</v>
      </c>
      <c r="D258" s="180">
        <v>0</v>
      </c>
      <c r="E258" s="181">
        <f>44.405+3.907</f>
        <v>48.312</v>
      </c>
      <c r="F258" s="181">
        <f>31.083+2.735</f>
        <v>33.818</v>
      </c>
      <c r="G258" s="181">
        <v>3815</v>
      </c>
      <c r="H258" s="43">
        <v>30</v>
      </c>
    </row>
    <row r="259" spans="1:8" ht="15.75">
      <c r="A259" s="73">
        <v>3</v>
      </c>
      <c r="B259" s="43" t="s">
        <v>226</v>
      </c>
      <c r="C259" s="43">
        <v>1</v>
      </c>
      <c r="D259" s="43">
        <v>1</v>
      </c>
      <c r="E259" s="181">
        <v>3.909</v>
      </c>
      <c r="F259" s="181">
        <v>3.909</v>
      </c>
      <c r="G259" s="181">
        <v>43</v>
      </c>
      <c r="H259" s="43">
        <v>7</v>
      </c>
    </row>
    <row r="260" spans="1:8" ht="15.75">
      <c r="A260" s="21">
        <v>4</v>
      </c>
      <c r="B260" s="43" t="s">
        <v>193</v>
      </c>
      <c r="C260" s="43">
        <v>101</v>
      </c>
      <c r="D260" s="180">
        <v>201.35</v>
      </c>
      <c r="E260" s="181">
        <f>274.531+66.442</f>
        <v>340.973</v>
      </c>
      <c r="F260" s="181">
        <f>192.172+46.509</f>
        <v>238.68099999999998</v>
      </c>
      <c r="G260" s="181">
        <f>8042-157</f>
        <v>7885</v>
      </c>
      <c r="H260" s="43">
        <v>377</v>
      </c>
    </row>
    <row r="261" spans="1:8" ht="15.75">
      <c r="A261" s="73">
        <v>5</v>
      </c>
      <c r="B261" s="43" t="s">
        <v>194</v>
      </c>
      <c r="C261" s="43">
        <v>5</v>
      </c>
      <c r="D261" s="180">
        <v>106.69</v>
      </c>
      <c r="E261" s="181">
        <v>1.667</v>
      </c>
      <c r="F261" s="181">
        <v>4.695</v>
      </c>
      <c r="G261" s="181">
        <v>70</v>
      </c>
      <c r="H261" s="43">
        <v>10</v>
      </c>
    </row>
    <row r="262" spans="1:8" ht="15.75">
      <c r="A262" s="21">
        <v>6</v>
      </c>
      <c r="B262" s="43" t="s">
        <v>222</v>
      </c>
      <c r="C262" s="43">
        <v>0</v>
      </c>
      <c r="D262" s="180">
        <v>0</v>
      </c>
      <c r="E262" s="181">
        <f>263.204+66.313</f>
        <v>329.517</v>
      </c>
      <c r="F262" s="181">
        <f>184.24+46.419</f>
        <v>230.659</v>
      </c>
      <c r="G262" s="181">
        <f>3637+325</f>
        <v>3962</v>
      </c>
      <c r="H262" s="43">
        <v>0</v>
      </c>
    </row>
    <row r="263" spans="1:8" ht="15.75">
      <c r="A263" s="73">
        <v>7</v>
      </c>
      <c r="B263" s="43" t="s">
        <v>200</v>
      </c>
      <c r="C263" s="43">
        <v>175</v>
      </c>
      <c r="D263" s="180">
        <v>12262.581</v>
      </c>
      <c r="E263" s="181">
        <v>353.022</v>
      </c>
      <c r="F263" s="181">
        <v>988.462</v>
      </c>
      <c r="G263" s="181">
        <f>45147-97</f>
        <v>45050</v>
      </c>
      <c r="H263" s="43">
        <v>12000</v>
      </c>
    </row>
    <row r="264" spans="1:8" ht="15.75">
      <c r="A264" s="21">
        <v>8</v>
      </c>
      <c r="B264" s="43" t="s">
        <v>79</v>
      </c>
      <c r="C264" s="43">
        <v>0</v>
      </c>
      <c r="D264" s="180">
        <v>0</v>
      </c>
      <c r="E264" s="181">
        <v>0</v>
      </c>
      <c r="F264" s="181">
        <v>0</v>
      </c>
      <c r="G264" s="181">
        <v>254</v>
      </c>
      <c r="H264" s="43">
        <v>0</v>
      </c>
    </row>
    <row r="265" spans="1:8" ht="15.75">
      <c r="A265" s="59"/>
      <c r="B265" s="65" t="s">
        <v>80</v>
      </c>
      <c r="C265" s="210">
        <f aca="true" t="shared" si="26" ref="C265:H265">SUM(C257:C264)</f>
        <v>282</v>
      </c>
      <c r="D265" s="210">
        <f t="shared" si="26"/>
        <v>12571.621</v>
      </c>
      <c r="E265" s="210">
        <f t="shared" si="26"/>
        <v>1293.848</v>
      </c>
      <c r="F265" s="210">
        <f t="shared" si="26"/>
        <v>1586.8029999999999</v>
      </c>
      <c r="G265" s="210">
        <f t="shared" si="26"/>
        <v>61136</v>
      </c>
      <c r="H265" s="210">
        <f t="shared" si="26"/>
        <v>12454</v>
      </c>
    </row>
    <row r="266" spans="1:8" ht="15.75">
      <c r="A266" s="67"/>
      <c r="B266" s="68"/>
      <c r="C266" s="69"/>
      <c r="D266" s="70"/>
      <c r="E266" s="71"/>
      <c r="F266" s="71"/>
      <c r="G266" s="71"/>
      <c r="H266" s="69"/>
    </row>
    <row r="267" spans="1:8" ht="15.75">
      <c r="A267" s="30"/>
      <c r="B267" s="31"/>
      <c r="C267" s="32"/>
      <c r="D267" s="33" t="s">
        <v>177</v>
      </c>
      <c r="E267" s="34"/>
      <c r="F267" s="34"/>
      <c r="G267" s="34"/>
      <c r="H267" s="32"/>
    </row>
    <row r="268" spans="1:8" ht="31.5">
      <c r="A268" s="156" t="s">
        <v>61</v>
      </c>
      <c r="B268" s="38" t="s">
        <v>62</v>
      </c>
      <c r="C268" s="38" t="s">
        <v>5</v>
      </c>
      <c r="D268" s="39" t="s">
        <v>6</v>
      </c>
      <c r="E268" s="40" t="s">
        <v>7</v>
      </c>
      <c r="F268" s="41" t="s">
        <v>8</v>
      </c>
      <c r="G268" s="41" t="s">
        <v>9</v>
      </c>
      <c r="H268" s="38" t="s">
        <v>63</v>
      </c>
    </row>
    <row r="269" spans="1:8" ht="15.75">
      <c r="A269" s="87"/>
      <c r="B269" s="43"/>
      <c r="C269" s="44"/>
      <c r="D269" s="45" t="s">
        <v>11</v>
      </c>
      <c r="E269" s="46" t="s">
        <v>64</v>
      </c>
      <c r="F269" s="46" t="s">
        <v>65</v>
      </c>
      <c r="G269" s="46" t="s">
        <v>66</v>
      </c>
      <c r="H269" s="157" t="s">
        <v>15</v>
      </c>
    </row>
    <row r="270" spans="1:8" ht="15.75">
      <c r="A270" s="73">
        <v>1</v>
      </c>
      <c r="B270" s="43" t="s">
        <v>189</v>
      </c>
      <c r="C270" s="43">
        <v>0</v>
      </c>
      <c r="D270" s="180">
        <v>0</v>
      </c>
      <c r="E270" s="181">
        <v>488.798</v>
      </c>
      <c r="F270" s="181">
        <v>342.158</v>
      </c>
      <c r="G270" s="181">
        <v>6524.454</v>
      </c>
      <c r="H270" s="43">
        <v>0</v>
      </c>
    </row>
    <row r="271" spans="1:8" ht="15.75">
      <c r="A271" s="21">
        <v>2</v>
      </c>
      <c r="B271" s="43" t="s">
        <v>190</v>
      </c>
      <c r="C271" s="43">
        <v>7</v>
      </c>
      <c r="D271" s="180">
        <v>11.83</v>
      </c>
      <c r="E271" s="181">
        <v>37.373</v>
      </c>
      <c r="F271" s="181">
        <v>37.37</v>
      </c>
      <c r="G271" s="181">
        <v>1803.661</v>
      </c>
      <c r="H271" s="43">
        <v>39</v>
      </c>
    </row>
    <row r="272" spans="1:8" ht="15.75">
      <c r="A272" s="73">
        <v>3</v>
      </c>
      <c r="B272" s="43" t="s">
        <v>191</v>
      </c>
      <c r="C272" s="43">
        <v>1</v>
      </c>
      <c r="D272" s="180">
        <v>1</v>
      </c>
      <c r="E272" s="181">
        <v>1.17</v>
      </c>
      <c r="F272" s="181">
        <f>+E272*5</f>
        <v>5.85</v>
      </c>
      <c r="G272" s="181">
        <v>208.151</v>
      </c>
      <c r="H272" s="43">
        <v>0</v>
      </c>
    </row>
    <row r="273" spans="1:8" ht="15.75">
      <c r="A273" s="21">
        <v>4</v>
      </c>
      <c r="B273" s="43" t="s">
        <v>193</v>
      </c>
      <c r="C273" s="43">
        <v>56</v>
      </c>
      <c r="D273" s="180">
        <v>64.16</v>
      </c>
      <c r="E273" s="181">
        <v>4379.309</v>
      </c>
      <c r="F273" s="181">
        <v>3503.447</v>
      </c>
      <c r="G273" s="181">
        <v>8442.004</v>
      </c>
      <c r="H273" s="43">
        <v>108</v>
      </c>
    </row>
    <row r="274" spans="1:8" ht="15.75">
      <c r="A274" s="73">
        <v>5</v>
      </c>
      <c r="B274" s="43" t="s">
        <v>222</v>
      </c>
      <c r="C274" s="43">
        <v>0</v>
      </c>
      <c r="D274" s="180">
        <v>0</v>
      </c>
      <c r="E274" s="181">
        <f>688.5+198.135+7916.999</f>
        <v>8803.634</v>
      </c>
      <c r="F274" s="181">
        <f>886.635+1979.025</f>
        <v>2865.66</v>
      </c>
      <c r="G274" s="181">
        <v>226.935</v>
      </c>
      <c r="H274" s="43">
        <v>0</v>
      </c>
    </row>
    <row r="275" spans="1:8" ht="15.75">
      <c r="A275" s="21">
        <v>6</v>
      </c>
      <c r="B275" s="43" t="s">
        <v>200</v>
      </c>
      <c r="C275" s="43">
        <v>12</v>
      </c>
      <c r="D275" s="180">
        <v>9.01</v>
      </c>
      <c r="E275" s="181">
        <v>3.683</v>
      </c>
      <c r="F275" s="181">
        <v>31.305</v>
      </c>
      <c r="G275" s="181">
        <v>752.474</v>
      </c>
      <c r="H275" s="43">
        <v>93</v>
      </c>
    </row>
    <row r="276" spans="1:8" ht="15.75">
      <c r="A276" s="196">
        <v>7</v>
      </c>
      <c r="B276" s="43" t="s">
        <v>223</v>
      </c>
      <c r="C276" s="43">
        <v>0</v>
      </c>
      <c r="D276" s="180">
        <v>0</v>
      </c>
      <c r="E276" s="181">
        <v>0</v>
      </c>
      <c r="F276" s="181">
        <v>0</v>
      </c>
      <c r="G276" s="181">
        <v>57194.362</v>
      </c>
      <c r="H276" s="43">
        <v>0</v>
      </c>
    </row>
    <row r="277" spans="1:8" ht="15.75">
      <c r="A277" s="21"/>
      <c r="B277" s="74" t="s">
        <v>80</v>
      </c>
      <c r="C277" s="126">
        <f aca="true" t="shared" si="27" ref="C277:H277">SUM(C270:C276)</f>
        <v>76</v>
      </c>
      <c r="D277" s="127">
        <f t="shared" si="27"/>
        <v>86</v>
      </c>
      <c r="E277" s="126">
        <f t="shared" si="27"/>
        <v>13713.967</v>
      </c>
      <c r="F277" s="126">
        <f t="shared" si="27"/>
        <v>6785.790000000001</v>
      </c>
      <c r="G277" s="126">
        <f t="shared" si="27"/>
        <v>75152.041</v>
      </c>
      <c r="H277" s="126">
        <f t="shared" si="27"/>
        <v>240</v>
      </c>
    </row>
    <row r="278" spans="1:8" ht="15.75">
      <c r="A278" s="75"/>
      <c r="B278" s="76"/>
      <c r="C278" s="208"/>
      <c r="D278" s="211"/>
      <c r="E278" s="212"/>
      <c r="F278" s="212"/>
      <c r="G278" s="212"/>
      <c r="H278" s="208"/>
    </row>
    <row r="279" spans="1:8" ht="15.75">
      <c r="A279" s="75"/>
      <c r="B279" s="76"/>
      <c r="C279" s="208"/>
      <c r="D279" s="211"/>
      <c r="E279" s="212"/>
      <c r="F279" s="212"/>
      <c r="G279" s="212"/>
      <c r="H279" s="208"/>
    </row>
    <row r="280" spans="1:8" ht="15.75">
      <c r="A280" s="30"/>
      <c r="B280" s="31"/>
      <c r="C280" s="32"/>
      <c r="D280" s="33" t="s">
        <v>179</v>
      </c>
      <c r="E280" s="34"/>
      <c r="F280" s="34"/>
      <c r="G280" s="34"/>
      <c r="H280" s="32"/>
    </row>
    <row r="281" spans="1:8" ht="31.5">
      <c r="A281" s="156" t="s">
        <v>61</v>
      </c>
      <c r="B281" s="38" t="s">
        <v>62</v>
      </c>
      <c r="C281" s="38" t="s">
        <v>5</v>
      </c>
      <c r="D281" s="39" t="s">
        <v>6</v>
      </c>
      <c r="E281" s="40" t="s">
        <v>7</v>
      </c>
      <c r="F281" s="41" t="s">
        <v>8</v>
      </c>
      <c r="G281" s="41" t="s">
        <v>9</v>
      </c>
      <c r="H281" s="38" t="s">
        <v>63</v>
      </c>
    </row>
    <row r="282" spans="1:8" ht="15.75">
      <c r="A282" s="87"/>
      <c r="B282" s="43"/>
      <c r="C282" s="44"/>
      <c r="D282" s="45" t="s">
        <v>11</v>
      </c>
      <c r="E282" s="46" t="s">
        <v>64</v>
      </c>
      <c r="F282" s="46" t="s">
        <v>65</v>
      </c>
      <c r="G282" s="46" t="s">
        <v>66</v>
      </c>
      <c r="H282" s="157" t="s">
        <v>15</v>
      </c>
    </row>
    <row r="283" spans="1:8" ht="15.75">
      <c r="A283" s="73">
        <v>1</v>
      </c>
      <c r="B283" s="43" t="s">
        <v>187</v>
      </c>
      <c r="C283" s="43">
        <v>0</v>
      </c>
      <c r="D283" s="180">
        <v>0</v>
      </c>
      <c r="E283" s="181">
        <v>0</v>
      </c>
      <c r="F283" s="181">
        <v>0</v>
      </c>
      <c r="G283" s="181">
        <v>53.508</v>
      </c>
      <c r="H283" s="43">
        <v>0</v>
      </c>
    </row>
    <row r="284" spans="1:8" ht="15.75">
      <c r="A284" s="73">
        <v>2</v>
      </c>
      <c r="B284" s="43" t="s">
        <v>193</v>
      </c>
      <c r="C284" s="43">
        <v>2</v>
      </c>
      <c r="D284" s="180">
        <v>2</v>
      </c>
      <c r="E284" s="181">
        <v>0.1</v>
      </c>
      <c r="F284" s="181">
        <v>0.05</v>
      </c>
      <c r="G284" s="181">
        <v>1506.783</v>
      </c>
      <c r="H284" s="43">
        <v>10</v>
      </c>
    </row>
    <row r="285" spans="1:8" ht="15.75">
      <c r="A285" s="21">
        <v>3</v>
      </c>
      <c r="B285" s="43" t="s">
        <v>201</v>
      </c>
      <c r="C285" s="43">
        <v>184</v>
      </c>
      <c r="D285" s="180">
        <v>194.72</v>
      </c>
      <c r="E285" s="181">
        <v>632.812</v>
      </c>
      <c r="F285" s="181">
        <v>6235.16</v>
      </c>
      <c r="G285" s="181">
        <v>134072.615</v>
      </c>
      <c r="H285" s="43">
        <v>1020</v>
      </c>
    </row>
    <row r="286" spans="1:8" ht="15.75">
      <c r="A286" s="59"/>
      <c r="B286" s="65" t="s">
        <v>80</v>
      </c>
      <c r="C286" s="210">
        <f aca="true" t="shared" si="28" ref="C286:H286">SUM(C283:C285)</f>
        <v>186</v>
      </c>
      <c r="D286" s="210">
        <f t="shared" si="28"/>
        <v>196.72</v>
      </c>
      <c r="E286" s="210">
        <f t="shared" si="28"/>
        <v>632.912</v>
      </c>
      <c r="F286" s="210">
        <f t="shared" si="28"/>
        <v>6235.21</v>
      </c>
      <c r="G286" s="210">
        <f t="shared" si="28"/>
        <v>135632.906</v>
      </c>
      <c r="H286" s="210">
        <f t="shared" si="28"/>
        <v>1030</v>
      </c>
    </row>
    <row r="287" spans="1:8" ht="15.75">
      <c r="A287" s="67"/>
      <c r="B287" s="68"/>
      <c r="C287" s="69"/>
      <c r="D287" s="70"/>
      <c r="E287" s="71"/>
      <c r="F287" s="71"/>
      <c r="G287" s="71"/>
      <c r="H287" s="69"/>
    </row>
    <row r="288" spans="1:8" ht="15.75">
      <c r="A288" s="30"/>
      <c r="B288" s="31"/>
      <c r="C288" s="32"/>
      <c r="D288" s="33" t="s">
        <v>147</v>
      </c>
      <c r="E288" s="34"/>
      <c r="F288" s="34"/>
      <c r="G288" s="34"/>
      <c r="H288" s="32"/>
    </row>
    <row r="289" spans="1:8" ht="31.5">
      <c r="A289" s="156" t="s">
        <v>61</v>
      </c>
      <c r="B289" s="38" t="s">
        <v>62</v>
      </c>
      <c r="C289" s="38" t="s">
        <v>5</v>
      </c>
      <c r="D289" s="39" t="s">
        <v>6</v>
      </c>
      <c r="E289" s="40" t="s">
        <v>7</v>
      </c>
      <c r="F289" s="41" t="s">
        <v>8</v>
      </c>
      <c r="G289" s="41" t="s">
        <v>9</v>
      </c>
      <c r="H289" s="38" t="s">
        <v>63</v>
      </c>
    </row>
    <row r="290" spans="1:8" ht="15.75">
      <c r="A290" s="87"/>
      <c r="B290" s="43"/>
      <c r="C290" s="44"/>
      <c r="D290" s="45" t="s">
        <v>11</v>
      </c>
      <c r="E290" s="46" t="s">
        <v>64</v>
      </c>
      <c r="F290" s="46" t="s">
        <v>65</v>
      </c>
      <c r="G290" s="46" t="s">
        <v>66</v>
      </c>
      <c r="H290" s="157" t="s">
        <v>15</v>
      </c>
    </row>
    <row r="291" spans="1:8" ht="15.75">
      <c r="A291" s="73">
        <v>1</v>
      </c>
      <c r="B291" s="43" t="s">
        <v>185</v>
      </c>
      <c r="C291" s="43">
        <v>0</v>
      </c>
      <c r="D291" s="180">
        <v>0</v>
      </c>
      <c r="E291" s="181">
        <v>115.725</v>
      </c>
      <c r="F291" s="181">
        <v>92.58</v>
      </c>
      <c r="G291" s="181">
        <f>8860+398</f>
        <v>9258</v>
      </c>
      <c r="H291" s="43">
        <v>0</v>
      </c>
    </row>
    <row r="292" spans="1:8" ht="15.75">
      <c r="A292" s="21">
        <v>2</v>
      </c>
      <c r="B292" s="43" t="s">
        <v>189</v>
      </c>
      <c r="C292" s="43">
        <v>0</v>
      </c>
      <c r="D292" s="180">
        <v>0</v>
      </c>
      <c r="E292" s="181">
        <v>2905.25</v>
      </c>
      <c r="F292" s="181">
        <v>2324.2</v>
      </c>
      <c r="G292" s="181">
        <v>23242</v>
      </c>
      <c r="H292" s="43">
        <v>0</v>
      </c>
    </row>
    <row r="293" spans="1:8" ht="15.75">
      <c r="A293" s="21">
        <f>+A292+1</f>
        <v>3</v>
      </c>
      <c r="B293" s="43" t="s">
        <v>190</v>
      </c>
      <c r="C293" s="43">
        <v>6</v>
      </c>
      <c r="D293" s="180">
        <v>417.38</v>
      </c>
      <c r="E293" s="181">
        <v>55.353</v>
      </c>
      <c r="F293" s="181">
        <v>66.423</v>
      </c>
      <c r="G293" s="181">
        <v>8731</v>
      </c>
      <c r="H293" s="43">
        <v>149</v>
      </c>
    </row>
    <row r="294" spans="1:8" ht="15.75">
      <c r="A294" s="21">
        <f>+A293+1</f>
        <v>4</v>
      </c>
      <c r="B294" s="43" t="s">
        <v>192</v>
      </c>
      <c r="C294" s="43">
        <v>11</v>
      </c>
      <c r="D294" s="180">
        <v>10.457</v>
      </c>
      <c r="E294" s="181">
        <v>48.994</v>
      </c>
      <c r="F294" s="181">
        <v>342.95</v>
      </c>
      <c r="G294" s="181">
        <v>713</v>
      </c>
      <c r="H294" s="43">
        <v>292</v>
      </c>
    </row>
    <row r="295" spans="1:8" ht="15.75">
      <c r="A295" s="21">
        <f>+A294+1</f>
        <v>5</v>
      </c>
      <c r="B295" s="43" t="s">
        <v>193</v>
      </c>
      <c r="C295" s="43">
        <v>157</v>
      </c>
      <c r="D295" s="180">
        <v>606.1</v>
      </c>
      <c r="E295" s="181">
        <v>253.778</v>
      </c>
      <c r="F295" s="181">
        <v>203.022</v>
      </c>
      <c r="G295" s="181">
        <f>12842</f>
        <v>12842</v>
      </c>
      <c r="H295" s="43">
        <v>2079</v>
      </c>
    </row>
    <row r="296" spans="1:8" ht="15.75">
      <c r="A296" s="21">
        <f>+A295+1</f>
        <v>6</v>
      </c>
      <c r="B296" s="43" t="s">
        <v>203</v>
      </c>
      <c r="C296" s="43">
        <v>24</v>
      </c>
      <c r="D296" s="180">
        <v>41.75</v>
      </c>
      <c r="E296" s="181">
        <v>1.536</v>
      </c>
      <c r="F296" s="181">
        <v>2.457</v>
      </c>
      <c r="G296" s="181">
        <v>786</v>
      </c>
      <c r="H296" s="43">
        <v>182</v>
      </c>
    </row>
    <row r="297" spans="1:8" ht="15.75">
      <c r="A297" s="21">
        <v>7</v>
      </c>
      <c r="B297" s="43" t="s">
        <v>79</v>
      </c>
      <c r="C297" s="43">
        <v>0</v>
      </c>
      <c r="D297" s="180">
        <v>0</v>
      </c>
      <c r="E297" s="181">
        <v>0</v>
      </c>
      <c r="F297" s="181">
        <v>0</v>
      </c>
      <c r="G297" s="181">
        <f>101+3382</f>
        <v>3483</v>
      </c>
      <c r="H297" s="43">
        <v>0</v>
      </c>
    </row>
    <row r="298" spans="1:8" ht="15.75">
      <c r="A298" s="196">
        <v>8</v>
      </c>
      <c r="B298" s="43" t="s">
        <v>223</v>
      </c>
      <c r="C298" s="43">
        <v>0</v>
      </c>
      <c r="D298" s="180">
        <v>0</v>
      </c>
      <c r="E298" s="181">
        <v>0</v>
      </c>
      <c r="F298" s="181">
        <v>0</v>
      </c>
      <c r="G298" s="181">
        <v>2750</v>
      </c>
      <c r="H298" s="43">
        <v>0</v>
      </c>
    </row>
    <row r="299" spans="1:8" ht="15.75">
      <c r="A299" s="21"/>
      <c r="B299" s="74" t="s">
        <v>80</v>
      </c>
      <c r="C299" s="126">
        <f aca="true" t="shared" si="29" ref="C299:H299">SUM(C291:C298)</f>
        <v>198</v>
      </c>
      <c r="D299" s="127">
        <f t="shared" si="29"/>
        <v>1075.687</v>
      </c>
      <c r="E299" s="126">
        <f t="shared" si="29"/>
        <v>3380.636</v>
      </c>
      <c r="F299" s="126">
        <f t="shared" si="29"/>
        <v>3031.631999999999</v>
      </c>
      <c r="G299" s="128">
        <f t="shared" si="29"/>
        <v>61805</v>
      </c>
      <c r="H299" s="126">
        <f t="shared" si="29"/>
        <v>2702</v>
      </c>
    </row>
    <row r="300" spans="1:8" ht="15.75">
      <c r="A300" s="75"/>
      <c r="B300" s="89"/>
      <c r="C300" s="90"/>
      <c r="D300" s="91"/>
      <c r="E300" s="92"/>
      <c r="F300" s="92"/>
      <c r="G300" s="92"/>
      <c r="H300" s="90"/>
    </row>
    <row r="301" spans="1:8" ht="15.75">
      <c r="A301" s="30"/>
      <c r="B301" s="31"/>
      <c r="C301" s="32"/>
      <c r="D301" s="33" t="s">
        <v>220</v>
      </c>
      <c r="E301" s="34"/>
      <c r="F301" s="34"/>
      <c r="G301" s="34"/>
      <c r="H301" s="32"/>
    </row>
    <row r="302" spans="1:8" ht="31.5">
      <c r="A302" s="156" t="s">
        <v>61</v>
      </c>
      <c r="B302" s="38" t="s">
        <v>62</v>
      </c>
      <c r="C302" s="38" t="s">
        <v>5</v>
      </c>
      <c r="D302" s="39" t="s">
        <v>6</v>
      </c>
      <c r="E302" s="40" t="s">
        <v>7</v>
      </c>
      <c r="F302" s="41" t="s">
        <v>8</v>
      </c>
      <c r="G302" s="41" t="s">
        <v>9</v>
      </c>
      <c r="H302" s="38" t="s">
        <v>63</v>
      </c>
    </row>
    <row r="303" spans="1:8" ht="15.75">
      <c r="A303" s="87"/>
      <c r="B303" s="43"/>
      <c r="C303" s="44"/>
      <c r="D303" s="45" t="s">
        <v>11</v>
      </c>
      <c r="E303" s="46" t="s">
        <v>64</v>
      </c>
      <c r="F303" s="46" t="s">
        <v>65</v>
      </c>
      <c r="G303" s="46" t="s">
        <v>66</v>
      </c>
      <c r="H303" s="157" t="s">
        <v>15</v>
      </c>
    </row>
    <row r="304" spans="1:8" ht="15.75">
      <c r="A304" s="73">
        <v>1</v>
      </c>
      <c r="B304" s="43" t="s">
        <v>189</v>
      </c>
      <c r="C304" s="43">
        <v>0</v>
      </c>
      <c r="D304" s="180">
        <v>0</v>
      </c>
      <c r="E304" s="181">
        <v>73.625</v>
      </c>
      <c r="F304" s="181">
        <v>18.4</v>
      </c>
      <c r="G304" s="181">
        <v>614.151</v>
      </c>
      <c r="H304" s="43">
        <v>150</v>
      </c>
    </row>
    <row r="305" spans="1:8" ht="15.75">
      <c r="A305" s="21">
        <f>+A304+1</f>
        <v>2</v>
      </c>
      <c r="B305" s="43" t="s">
        <v>192</v>
      </c>
      <c r="C305" s="43">
        <v>0</v>
      </c>
      <c r="D305" s="180">
        <v>0</v>
      </c>
      <c r="E305" s="181">
        <v>711.476</v>
      </c>
      <c r="F305" s="181">
        <v>4936.368</v>
      </c>
      <c r="G305" s="181">
        <v>176691</v>
      </c>
      <c r="H305" s="43">
        <v>6000</v>
      </c>
    </row>
    <row r="306" spans="1:8" ht="15.75">
      <c r="A306" s="21">
        <f>+A305+1</f>
        <v>3</v>
      </c>
      <c r="B306" s="43" t="s">
        <v>193</v>
      </c>
      <c r="C306" s="43">
        <v>72</v>
      </c>
      <c r="D306" s="180">
        <v>72.5</v>
      </c>
      <c r="E306" s="181">
        <v>185</v>
      </c>
      <c r="F306" s="181">
        <v>46.25</v>
      </c>
      <c r="G306" s="181">
        <v>2233</v>
      </c>
      <c r="H306" s="43">
        <v>400</v>
      </c>
    </row>
    <row r="307" spans="1:8" ht="15.75">
      <c r="A307" s="59"/>
      <c r="B307" s="65" t="s">
        <v>80</v>
      </c>
      <c r="C307" s="210">
        <f aca="true" t="shared" si="30" ref="C307:H307">SUM(C304:C306)</f>
        <v>72</v>
      </c>
      <c r="D307" s="217">
        <f t="shared" si="30"/>
        <v>72.5</v>
      </c>
      <c r="E307" s="210">
        <f t="shared" si="30"/>
        <v>970.101</v>
      </c>
      <c r="F307" s="210">
        <f t="shared" si="30"/>
        <v>5001.018</v>
      </c>
      <c r="G307" s="210">
        <f t="shared" si="30"/>
        <v>179538.151</v>
      </c>
      <c r="H307" s="210">
        <f t="shared" si="30"/>
        <v>6550</v>
      </c>
    </row>
    <row r="308" spans="1:8" ht="15.75">
      <c r="A308" s="67"/>
      <c r="B308" s="68"/>
      <c r="C308" s="69"/>
      <c r="D308" s="70"/>
      <c r="E308" s="71"/>
      <c r="F308" s="71"/>
      <c r="G308" s="71"/>
      <c r="H308" s="69"/>
    </row>
    <row r="309" spans="1:8" ht="15.75">
      <c r="A309" s="30"/>
      <c r="B309" s="31"/>
      <c r="C309" s="32"/>
      <c r="D309" s="33" t="s">
        <v>221</v>
      </c>
      <c r="E309" s="34"/>
      <c r="F309" s="34"/>
      <c r="G309" s="34"/>
      <c r="H309" s="32"/>
    </row>
    <row r="310" spans="1:8" ht="31.5">
      <c r="A310" s="156" t="s">
        <v>61</v>
      </c>
      <c r="B310" s="38" t="s">
        <v>62</v>
      </c>
      <c r="C310" s="38" t="s">
        <v>5</v>
      </c>
      <c r="D310" s="39" t="s">
        <v>6</v>
      </c>
      <c r="E310" s="40" t="s">
        <v>7</v>
      </c>
      <c r="F310" s="41" t="s">
        <v>8</v>
      </c>
      <c r="G310" s="41" t="s">
        <v>9</v>
      </c>
      <c r="H310" s="38" t="s">
        <v>63</v>
      </c>
    </row>
    <row r="311" spans="1:8" ht="15.75">
      <c r="A311" s="87"/>
      <c r="B311" s="43"/>
      <c r="C311" s="44"/>
      <c r="D311" s="45" t="s">
        <v>11</v>
      </c>
      <c r="E311" s="46" t="s">
        <v>64</v>
      </c>
      <c r="F311" s="46" t="s">
        <v>65</v>
      </c>
      <c r="G311" s="46" t="s">
        <v>66</v>
      </c>
      <c r="H311" s="157" t="s">
        <v>15</v>
      </c>
    </row>
    <row r="312" spans="1:8" ht="15.75">
      <c r="A312" s="73">
        <v>1</v>
      </c>
      <c r="B312" s="43" t="s">
        <v>190</v>
      </c>
      <c r="C312" s="43">
        <v>70</v>
      </c>
      <c r="D312" s="180">
        <v>970.91</v>
      </c>
      <c r="E312" s="181">
        <v>321.875</v>
      </c>
      <c r="F312" s="181">
        <v>435.531</v>
      </c>
      <c r="G312" s="181">
        <v>48340</v>
      </c>
      <c r="H312" s="43">
        <v>700</v>
      </c>
    </row>
    <row r="313" spans="1:8" ht="15.75">
      <c r="A313" s="21">
        <v>2</v>
      </c>
      <c r="B313" s="43" t="s">
        <v>193</v>
      </c>
      <c r="C313" s="43">
        <v>170</v>
      </c>
      <c r="D313" s="180">
        <v>160.985</v>
      </c>
      <c r="E313" s="181">
        <v>918.9</v>
      </c>
      <c r="F313" s="181">
        <v>321.615</v>
      </c>
      <c r="G313" s="181">
        <v>10591</v>
      </c>
      <c r="H313" s="43">
        <v>2936</v>
      </c>
    </row>
    <row r="314" spans="1:8" ht="15.75">
      <c r="A314" s="21">
        <v>3</v>
      </c>
      <c r="B314" s="43" t="s">
        <v>200</v>
      </c>
      <c r="C314" s="43">
        <v>0</v>
      </c>
      <c r="D314" s="180">
        <v>0</v>
      </c>
      <c r="E314" s="181">
        <v>65</v>
      </c>
      <c r="F314" s="181">
        <v>325</v>
      </c>
      <c r="G314" s="181">
        <v>6401</v>
      </c>
      <c r="H314" s="43">
        <v>240</v>
      </c>
    </row>
    <row r="315" spans="1:8" ht="15.75">
      <c r="A315" s="196">
        <v>4</v>
      </c>
      <c r="B315" s="43" t="s">
        <v>223</v>
      </c>
      <c r="C315" s="43">
        <v>0</v>
      </c>
      <c r="D315" s="180">
        <v>0</v>
      </c>
      <c r="E315" s="181">
        <v>0</v>
      </c>
      <c r="F315" s="181">
        <v>0</v>
      </c>
      <c r="G315" s="181">
        <v>8660</v>
      </c>
      <c r="H315" s="43">
        <v>0</v>
      </c>
    </row>
    <row r="316" spans="1:8" ht="15.75">
      <c r="A316" s="59"/>
      <c r="B316" s="65" t="s">
        <v>80</v>
      </c>
      <c r="C316" s="221">
        <f aca="true" t="shared" si="31" ref="C316:H316">SUM(C312:C315)</f>
        <v>240</v>
      </c>
      <c r="D316" s="222">
        <f t="shared" si="31"/>
        <v>1131.895</v>
      </c>
      <c r="E316" s="221">
        <f t="shared" si="31"/>
        <v>1305.775</v>
      </c>
      <c r="F316" s="221">
        <f t="shared" si="31"/>
        <v>1082.146</v>
      </c>
      <c r="G316" s="223">
        <f t="shared" si="31"/>
        <v>73992</v>
      </c>
      <c r="H316" s="221">
        <f t="shared" si="31"/>
        <v>3876</v>
      </c>
    </row>
    <row r="317" spans="1:8" ht="15.75">
      <c r="A317" s="67"/>
      <c r="B317" s="68"/>
      <c r="C317" s="69"/>
      <c r="D317" s="70"/>
      <c r="E317" s="71"/>
      <c r="F317" s="71"/>
      <c r="G317" s="71"/>
      <c r="H317" s="69"/>
    </row>
    <row r="318" spans="1:8" ht="15.75">
      <c r="A318" s="30"/>
      <c r="B318" s="31"/>
      <c r="C318" s="32"/>
      <c r="D318" s="33" t="s">
        <v>216</v>
      </c>
      <c r="E318" s="34"/>
      <c r="F318" s="34"/>
      <c r="G318" s="34"/>
      <c r="H318" s="32"/>
    </row>
    <row r="319" spans="1:8" ht="31.5">
      <c r="A319" s="156" t="s">
        <v>61</v>
      </c>
      <c r="B319" s="38" t="s">
        <v>62</v>
      </c>
      <c r="C319" s="38" t="s">
        <v>5</v>
      </c>
      <c r="D319" s="39" t="s">
        <v>6</v>
      </c>
      <c r="E319" s="40" t="s">
        <v>7</v>
      </c>
      <c r="F319" s="41" t="s">
        <v>8</v>
      </c>
      <c r="G319" s="41" t="s">
        <v>9</v>
      </c>
      <c r="H319" s="38" t="s">
        <v>63</v>
      </c>
    </row>
    <row r="320" spans="1:8" ht="15.75">
      <c r="A320" s="87"/>
      <c r="B320" s="43"/>
      <c r="C320" s="44"/>
      <c r="D320" s="45" t="s">
        <v>11</v>
      </c>
      <c r="E320" s="46" t="s">
        <v>64</v>
      </c>
      <c r="F320" s="46" t="s">
        <v>65</v>
      </c>
      <c r="G320" s="46" t="s">
        <v>66</v>
      </c>
      <c r="H320" s="157" t="s">
        <v>15</v>
      </c>
    </row>
    <row r="321" spans="1:8" ht="15.75">
      <c r="A321" s="73">
        <v>1</v>
      </c>
      <c r="B321" s="43" t="s">
        <v>215</v>
      </c>
      <c r="C321" s="43">
        <v>7</v>
      </c>
      <c r="D321" s="180">
        <v>3.46</v>
      </c>
      <c r="E321" s="181">
        <v>2.537</v>
      </c>
      <c r="F321" s="181">
        <v>2.537</v>
      </c>
      <c r="G321" s="181">
        <v>310.203</v>
      </c>
      <c r="H321" s="43">
        <v>26</v>
      </c>
    </row>
    <row r="322" spans="1:8" ht="15.75">
      <c r="A322" s="21">
        <v>2</v>
      </c>
      <c r="B322" s="43" t="s">
        <v>189</v>
      </c>
      <c r="C322" s="43">
        <v>0</v>
      </c>
      <c r="D322" s="180">
        <v>0</v>
      </c>
      <c r="E322" s="181">
        <v>309.122</v>
      </c>
      <c r="F322" s="181">
        <v>154.561</v>
      </c>
      <c r="G322" s="181">
        <v>2472.978</v>
      </c>
      <c r="H322" s="43">
        <v>0</v>
      </c>
    </row>
    <row r="323" spans="1:8" ht="15.75">
      <c r="A323" s="21">
        <f aca="true" t="shared" si="32" ref="A323:A328">+A322+1</f>
        <v>3</v>
      </c>
      <c r="B323" s="43" t="s">
        <v>190</v>
      </c>
      <c r="C323" s="43">
        <v>4</v>
      </c>
      <c r="D323" s="180">
        <v>124.08</v>
      </c>
      <c r="E323" s="181">
        <v>29.557</v>
      </c>
      <c r="F323" s="181">
        <v>2.07</v>
      </c>
      <c r="G323" s="181">
        <v>843.931</v>
      </c>
      <c r="H323" s="43">
        <v>25</v>
      </c>
    </row>
    <row r="324" spans="1:8" ht="15.75">
      <c r="A324" s="21">
        <f t="shared" si="32"/>
        <v>4</v>
      </c>
      <c r="B324" s="43" t="s">
        <v>191</v>
      </c>
      <c r="C324" s="43">
        <v>0</v>
      </c>
      <c r="D324" s="180">
        <v>0</v>
      </c>
      <c r="E324" s="181">
        <f>334.866+538.177</f>
        <v>873.043</v>
      </c>
      <c r="F324" s="181">
        <f>133.946+96.872</f>
        <v>230.81799999999998</v>
      </c>
      <c r="G324" s="181">
        <f>14351.426+99</f>
        <v>14450.426</v>
      </c>
      <c r="H324" s="43">
        <v>300</v>
      </c>
    </row>
    <row r="325" spans="1:8" ht="15.75">
      <c r="A325" s="21">
        <f t="shared" si="32"/>
        <v>5</v>
      </c>
      <c r="B325" s="43" t="s">
        <v>192</v>
      </c>
      <c r="C325" s="43">
        <v>7</v>
      </c>
      <c r="D325" s="180">
        <v>32</v>
      </c>
      <c r="E325" s="181">
        <v>1.638</v>
      </c>
      <c r="F325" s="181">
        <v>7.371</v>
      </c>
      <c r="G325" s="181">
        <v>1043.278</v>
      </c>
      <c r="H325" s="43">
        <v>26</v>
      </c>
    </row>
    <row r="326" spans="1:8" ht="15.75">
      <c r="A326" s="21">
        <f t="shared" si="32"/>
        <v>6</v>
      </c>
      <c r="B326" s="43" t="s">
        <v>193</v>
      </c>
      <c r="C326" s="43">
        <v>6</v>
      </c>
      <c r="D326" s="180">
        <f>6.75+0.35</f>
        <v>7.1</v>
      </c>
      <c r="E326" s="181">
        <f>3.98+345.875+0.136</f>
        <v>349.99100000000004</v>
      </c>
      <c r="F326" s="181">
        <f>62.974+0.027</f>
        <v>63.001</v>
      </c>
      <c r="G326" s="181">
        <f>2131.232+223+5.623</f>
        <v>2359.855</v>
      </c>
      <c r="H326" s="43">
        <v>47</v>
      </c>
    </row>
    <row r="327" spans="1:8" ht="15.75">
      <c r="A327" s="21">
        <f t="shared" si="32"/>
        <v>7</v>
      </c>
      <c r="B327" s="43" t="s">
        <v>202</v>
      </c>
      <c r="C327" s="43">
        <v>2</v>
      </c>
      <c r="D327" s="180">
        <v>1.66</v>
      </c>
      <c r="E327" s="181">
        <v>0</v>
      </c>
      <c r="F327" s="181">
        <v>0</v>
      </c>
      <c r="G327" s="181">
        <v>9.75</v>
      </c>
      <c r="H327" s="43">
        <v>0</v>
      </c>
    </row>
    <row r="328" spans="1:8" ht="15.75">
      <c r="A328" s="21">
        <f t="shared" si="32"/>
        <v>8</v>
      </c>
      <c r="B328" s="43" t="s">
        <v>223</v>
      </c>
      <c r="C328" s="43">
        <v>0</v>
      </c>
      <c r="D328" s="180">
        <v>0</v>
      </c>
      <c r="E328" s="181">
        <v>0</v>
      </c>
      <c r="F328" s="181">
        <v>0</v>
      </c>
      <c r="G328" s="181">
        <v>3332.379</v>
      </c>
      <c r="H328" s="43">
        <v>0</v>
      </c>
    </row>
    <row r="329" spans="1:8" ht="15.75">
      <c r="A329" s="21"/>
      <c r="B329" s="74" t="s">
        <v>80</v>
      </c>
      <c r="C329" s="126">
        <f aca="true" t="shared" si="33" ref="C329:H329">SUM(C321:C328)</f>
        <v>26</v>
      </c>
      <c r="D329" s="127">
        <f t="shared" si="33"/>
        <v>168.29999999999998</v>
      </c>
      <c r="E329" s="126">
        <f t="shared" si="33"/>
        <v>1565.888</v>
      </c>
      <c r="F329" s="126">
        <f t="shared" si="33"/>
        <v>460.35799999999995</v>
      </c>
      <c r="G329" s="128">
        <f t="shared" si="33"/>
        <v>24822.8</v>
      </c>
      <c r="H329" s="126">
        <f t="shared" si="33"/>
        <v>424</v>
      </c>
    </row>
    <row r="330" spans="1:8" ht="15.75">
      <c r="A330" s="75"/>
      <c r="B330" s="76"/>
      <c r="C330" s="208"/>
      <c r="D330" s="211"/>
      <c r="E330" s="212"/>
      <c r="F330" s="212"/>
      <c r="G330" s="212"/>
      <c r="H330" s="208"/>
    </row>
    <row r="331" spans="1:8" ht="15.75">
      <c r="A331" s="30"/>
      <c r="B331" s="31"/>
      <c r="C331" s="32"/>
      <c r="D331" s="33" t="s">
        <v>172</v>
      </c>
      <c r="E331" s="34"/>
      <c r="F331" s="34"/>
      <c r="G331" s="34"/>
      <c r="H331" s="32"/>
    </row>
    <row r="332" spans="1:8" ht="31.5">
      <c r="A332" s="156" t="s">
        <v>61</v>
      </c>
      <c r="B332" s="38" t="s">
        <v>62</v>
      </c>
      <c r="C332" s="38" t="s">
        <v>5</v>
      </c>
      <c r="D332" s="39" t="s">
        <v>6</v>
      </c>
      <c r="E332" s="40" t="s">
        <v>7</v>
      </c>
      <c r="F332" s="41" t="s">
        <v>8</v>
      </c>
      <c r="G332" s="41" t="s">
        <v>9</v>
      </c>
      <c r="H332" s="38" t="s">
        <v>63</v>
      </c>
    </row>
    <row r="333" spans="1:8" ht="15.75">
      <c r="A333" s="87"/>
      <c r="B333" s="43"/>
      <c r="C333" s="44"/>
      <c r="D333" s="45" t="s">
        <v>11</v>
      </c>
      <c r="E333" s="46" t="s">
        <v>64</v>
      </c>
      <c r="F333" s="46" t="s">
        <v>65</v>
      </c>
      <c r="G333" s="46" t="s">
        <v>66</v>
      </c>
      <c r="H333" s="157" t="s">
        <v>15</v>
      </c>
    </row>
    <row r="334" spans="1:8" s="20" customFormat="1" ht="15.75">
      <c r="A334" s="109">
        <v>1</v>
      </c>
      <c r="B334" s="49" t="s">
        <v>192</v>
      </c>
      <c r="C334" s="43">
        <v>592</v>
      </c>
      <c r="D334" s="180">
        <v>714.113</v>
      </c>
      <c r="E334" s="181">
        <v>2759.106</v>
      </c>
      <c r="F334" s="181">
        <v>28280.837</v>
      </c>
      <c r="G334" s="181">
        <v>420453.816</v>
      </c>
      <c r="H334" s="43">
        <v>17358</v>
      </c>
    </row>
    <row r="335" spans="1:8" ht="15.75">
      <c r="A335" s="21">
        <f>+A334+1</f>
        <v>2</v>
      </c>
      <c r="B335" s="43" t="s">
        <v>193</v>
      </c>
      <c r="C335" s="43">
        <v>5</v>
      </c>
      <c r="D335" s="180">
        <v>5</v>
      </c>
      <c r="E335" s="181">
        <v>49.48</v>
      </c>
      <c r="F335" s="181">
        <v>28.698</v>
      </c>
      <c r="G335" s="181">
        <v>187.876</v>
      </c>
      <c r="H335" s="43">
        <v>9</v>
      </c>
    </row>
    <row r="336" spans="1:8" ht="15.75">
      <c r="A336" s="59"/>
      <c r="B336" s="65" t="s">
        <v>80</v>
      </c>
      <c r="C336" s="210">
        <f aca="true" t="shared" si="34" ref="C336:H336">SUM(C334:C335)</f>
        <v>597</v>
      </c>
      <c r="D336" s="217">
        <f t="shared" si="34"/>
        <v>719.113</v>
      </c>
      <c r="E336" s="210">
        <f t="shared" si="34"/>
        <v>2808.5860000000002</v>
      </c>
      <c r="F336" s="210">
        <f t="shared" si="34"/>
        <v>28309.535</v>
      </c>
      <c r="G336" s="210">
        <f t="shared" si="34"/>
        <v>420641.692</v>
      </c>
      <c r="H336" s="210">
        <f t="shared" si="34"/>
        <v>17367</v>
      </c>
    </row>
    <row r="337" spans="1:8" ht="15.75">
      <c r="A337" s="67"/>
      <c r="B337" s="68"/>
      <c r="C337" s="69"/>
      <c r="D337" s="70"/>
      <c r="E337" s="71"/>
      <c r="F337" s="71"/>
      <c r="G337" s="71"/>
      <c r="H337" s="69"/>
    </row>
    <row r="338" spans="1:8" ht="15.75">
      <c r="A338" s="30"/>
      <c r="B338" s="31"/>
      <c r="C338" s="32"/>
      <c r="D338" s="33" t="s">
        <v>150</v>
      </c>
      <c r="E338" s="34"/>
      <c r="F338" s="34"/>
      <c r="G338" s="34"/>
      <c r="H338" s="32"/>
    </row>
    <row r="339" spans="1:8" ht="31.5">
      <c r="A339" s="156" t="s">
        <v>61</v>
      </c>
      <c r="B339" s="38" t="s">
        <v>62</v>
      </c>
      <c r="C339" s="38" t="s">
        <v>5</v>
      </c>
      <c r="D339" s="39" t="s">
        <v>6</v>
      </c>
      <c r="E339" s="40" t="s">
        <v>7</v>
      </c>
      <c r="F339" s="41" t="s">
        <v>8</v>
      </c>
      <c r="G339" s="41" t="s">
        <v>9</v>
      </c>
      <c r="H339" s="38" t="s">
        <v>63</v>
      </c>
    </row>
    <row r="340" spans="1:8" ht="15.75">
      <c r="A340" s="87"/>
      <c r="B340" s="43"/>
      <c r="C340" s="44"/>
      <c r="D340" s="45" t="s">
        <v>11</v>
      </c>
      <c r="E340" s="46" t="s">
        <v>64</v>
      </c>
      <c r="F340" s="46" t="s">
        <v>65</v>
      </c>
      <c r="G340" s="46" t="s">
        <v>66</v>
      </c>
      <c r="H340" s="157" t="s">
        <v>15</v>
      </c>
    </row>
    <row r="341" spans="1:8" s="20" customFormat="1" ht="15.75">
      <c r="A341" s="109">
        <v>1</v>
      </c>
      <c r="B341" s="43" t="s">
        <v>215</v>
      </c>
      <c r="C341" s="43">
        <v>42</v>
      </c>
      <c r="D341" s="180">
        <v>37.74</v>
      </c>
      <c r="E341" s="181">
        <v>204.1</v>
      </c>
      <c r="F341" s="181">
        <v>265.33</v>
      </c>
      <c r="G341" s="181">
        <v>10432.175</v>
      </c>
      <c r="H341" s="43">
        <v>378</v>
      </c>
    </row>
    <row r="342" spans="1:8" s="20" customFormat="1" ht="15.75">
      <c r="A342" s="110">
        <f>+A341+1</f>
        <v>2</v>
      </c>
      <c r="B342" s="43" t="s">
        <v>188</v>
      </c>
      <c r="C342" s="43">
        <v>1</v>
      </c>
      <c r="D342" s="180">
        <v>1</v>
      </c>
      <c r="E342" s="181">
        <v>0</v>
      </c>
      <c r="F342" s="181">
        <v>0</v>
      </c>
      <c r="G342" s="181">
        <v>11</v>
      </c>
      <c r="H342" s="43">
        <v>0</v>
      </c>
    </row>
    <row r="343" spans="1:8" s="20" customFormat="1" ht="15.75">
      <c r="A343" s="110">
        <f>+A342+1</f>
        <v>3</v>
      </c>
      <c r="B343" s="43" t="s">
        <v>189</v>
      </c>
      <c r="C343" s="43">
        <v>0</v>
      </c>
      <c r="D343" s="180">
        <v>0</v>
      </c>
      <c r="E343" s="181">
        <v>125.75</v>
      </c>
      <c r="F343" s="181">
        <v>88.025</v>
      </c>
      <c r="G343" s="181">
        <v>1747.495</v>
      </c>
      <c r="H343" s="43">
        <v>60</v>
      </c>
    </row>
    <row r="344" spans="1:8" s="20" customFormat="1" ht="15.75">
      <c r="A344" s="110">
        <f>+A343+1</f>
        <v>4</v>
      </c>
      <c r="B344" s="43" t="s">
        <v>192</v>
      </c>
      <c r="C344" s="43">
        <v>371</v>
      </c>
      <c r="D344" s="180">
        <v>400.85</v>
      </c>
      <c r="E344" s="181">
        <v>377.325</v>
      </c>
      <c r="F344" s="181">
        <v>3584.588</v>
      </c>
      <c r="G344" s="181">
        <v>56667.243</v>
      </c>
      <c r="H344" s="43">
        <v>4452</v>
      </c>
    </row>
    <row r="345" spans="1:8" s="20" customFormat="1" ht="15.75">
      <c r="A345" s="110">
        <f>+A344+1</f>
        <v>5</v>
      </c>
      <c r="B345" s="43" t="s">
        <v>193</v>
      </c>
      <c r="C345" s="43">
        <v>13</v>
      </c>
      <c r="D345" s="180">
        <v>13.9</v>
      </c>
      <c r="E345" s="181">
        <v>141.046</v>
      </c>
      <c r="F345" s="181">
        <v>53.418</v>
      </c>
      <c r="G345" s="181">
        <v>1723.54</v>
      </c>
      <c r="H345" s="43">
        <v>80</v>
      </c>
    </row>
    <row r="346" spans="1:8" ht="15.75">
      <c r="A346" s="59"/>
      <c r="B346" s="65" t="s">
        <v>80</v>
      </c>
      <c r="C346" s="210">
        <f aca="true" t="shared" si="35" ref="C346:H346">SUM(C341:C345)</f>
        <v>427</v>
      </c>
      <c r="D346" s="210">
        <f t="shared" si="35"/>
        <v>453.49</v>
      </c>
      <c r="E346" s="210">
        <f t="shared" si="35"/>
        <v>848.221</v>
      </c>
      <c r="F346" s="210">
        <f t="shared" si="35"/>
        <v>3991.3610000000003</v>
      </c>
      <c r="G346" s="210">
        <f t="shared" si="35"/>
        <v>70581.453</v>
      </c>
      <c r="H346" s="210">
        <f t="shared" si="35"/>
        <v>4970</v>
      </c>
    </row>
    <row r="347" spans="1:8" ht="15.75">
      <c r="A347" s="67"/>
      <c r="B347" s="68"/>
      <c r="C347" s="69"/>
      <c r="D347" s="70"/>
      <c r="E347" s="71"/>
      <c r="F347" s="71"/>
      <c r="G347" s="71"/>
      <c r="H347" s="69"/>
    </row>
    <row r="348" spans="1:8" ht="15.75">
      <c r="A348" s="30"/>
      <c r="B348" s="31"/>
      <c r="C348" s="32"/>
      <c r="D348" s="33" t="s">
        <v>178</v>
      </c>
      <c r="E348" s="34"/>
      <c r="F348" s="34"/>
      <c r="G348" s="34"/>
      <c r="H348" s="32"/>
    </row>
    <row r="349" spans="1:8" ht="31.5">
      <c r="A349" s="156" t="s">
        <v>61</v>
      </c>
      <c r="B349" s="38" t="s">
        <v>62</v>
      </c>
      <c r="C349" s="38" t="s">
        <v>5</v>
      </c>
      <c r="D349" s="39" t="s">
        <v>6</v>
      </c>
      <c r="E349" s="40" t="s">
        <v>7</v>
      </c>
      <c r="F349" s="41" t="s">
        <v>8</v>
      </c>
      <c r="G349" s="41" t="s">
        <v>9</v>
      </c>
      <c r="H349" s="38" t="s">
        <v>63</v>
      </c>
    </row>
    <row r="350" spans="1:8" ht="15.75">
      <c r="A350" s="87"/>
      <c r="B350" s="43"/>
      <c r="C350" s="44"/>
      <c r="D350" s="45" t="s">
        <v>11</v>
      </c>
      <c r="E350" s="46" t="s">
        <v>64</v>
      </c>
      <c r="F350" s="46" t="s">
        <v>65</v>
      </c>
      <c r="G350" s="46" t="s">
        <v>66</v>
      </c>
      <c r="H350" s="157" t="s">
        <v>15</v>
      </c>
    </row>
    <row r="351" spans="1:8" ht="15.75">
      <c r="A351" s="73">
        <v>1</v>
      </c>
      <c r="B351" s="43" t="s">
        <v>189</v>
      </c>
      <c r="C351" s="43">
        <v>0</v>
      </c>
      <c r="D351" s="180">
        <v>0</v>
      </c>
      <c r="E351" s="181">
        <v>325</v>
      </c>
      <c r="F351" s="181">
        <v>162.5</v>
      </c>
      <c r="G351" s="181">
        <v>3106</v>
      </c>
      <c r="H351" s="43">
        <v>75</v>
      </c>
    </row>
    <row r="352" spans="1:8" ht="15.75">
      <c r="A352" s="21">
        <f>+A351+1</f>
        <v>2</v>
      </c>
      <c r="B352" s="43" t="s">
        <v>191</v>
      </c>
      <c r="C352" s="43">
        <v>47</v>
      </c>
      <c r="D352" s="180">
        <v>1921.71</v>
      </c>
      <c r="E352" s="181">
        <v>2660.435</v>
      </c>
      <c r="F352" s="181">
        <v>18623.048</v>
      </c>
      <c r="G352" s="181">
        <v>221726</v>
      </c>
      <c r="H352" s="43">
        <v>4364</v>
      </c>
    </row>
    <row r="353" spans="1:8" ht="15.75">
      <c r="A353" s="21">
        <f>+A352+1</f>
        <v>3</v>
      </c>
      <c r="B353" s="43" t="s">
        <v>193</v>
      </c>
      <c r="C353" s="43">
        <v>6</v>
      </c>
      <c r="D353" s="180">
        <v>6</v>
      </c>
      <c r="E353" s="181">
        <v>6.345</v>
      </c>
      <c r="F353" s="181">
        <v>2.031</v>
      </c>
      <c r="G353" s="181">
        <v>812</v>
      </c>
      <c r="H353" s="43">
        <v>30</v>
      </c>
    </row>
    <row r="354" spans="1:8" ht="15.75">
      <c r="A354" s="21">
        <f>+A353+1</f>
        <v>4</v>
      </c>
      <c r="B354" s="43" t="s">
        <v>200</v>
      </c>
      <c r="C354" s="43">
        <v>9</v>
      </c>
      <c r="D354" s="180">
        <v>6.69</v>
      </c>
      <c r="E354" s="181">
        <v>0.925</v>
      </c>
      <c r="F354" s="181">
        <v>9.25</v>
      </c>
      <c r="G354" s="181">
        <v>73</v>
      </c>
      <c r="H354" s="43">
        <v>19</v>
      </c>
    </row>
    <row r="355" spans="1:8" ht="15.75">
      <c r="A355" s="196">
        <v>5</v>
      </c>
      <c r="B355" s="43" t="s">
        <v>223</v>
      </c>
      <c r="C355" s="43">
        <v>0</v>
      </c>
      <c r="D355" s="180">
        <v>0</v>
      </c>
      <c r="E355" s="181">
        <v>0</v>
      </c>
      <c r="F355" s="181">
        <v>0</v>
      </c>
      <c r="G355" s="181">
        <v>3641</v>
      </c>
      <c r="H355" s="43">
        <v>0</v>
      </c>
    </row>
    <row r="356" spans="1:8" ht="15.75">
      <c r="A356" s="59"/>
      <c r="B356" s="65" t="s">
        <v>80</v>
      </c>
      <c r="C356" s="210">
        <f aca="true" t="shared" si="36" ref="C356:H356">SUM(C351:C355)</f>
        <v>62</v>
      </c>
      <c r="D356" s="217">
        <f t="shared" si="36"/>
        <v>1934.4</v>
      </c>
      <c r="E356" s="210">
        <f t="shared" si="36"/>
        <v>2992.705</v>
      </c>
      <c r="F356" s="210">
        <f t="shared" si="36"/>
        <v>18796.828999999998</v>
      </c>
      <c r="G356" s="210">
        <f t="shared" si="36"/>
        <v>229358</v>
      </c>
      <c r="H356" s="210">
        <f t="shared" si="36"/>
        <v>4488</v>
      </c>
    </row>
    <row r="357" spans="1:8" ht="15.75">
      <c r="A357" s="67"/>
      <c r="B357" s="68"/>
      <c r="C357" s="69"/>
      <c r="D357" s="70"/>
      <c r="E357" s="71"/>
      <c r="F357" s="71"/>
      <c r="G357" s="71"/>
      <c r="H357" s="69"/>
    </row>
    <row r="358" spans="1:8" ht="15.75">
      <c r="A358" s="30"/>
      <c r="B358" s="31"/>
      <c r="C358" s="32"/>
      <c r="D358" s="33" t="s">
        <v>142</v>
      </c>
      <c r="E358" s="34"/>
      <c r="F358" s="34"/>
      <c r="G358" s="34"/>
      <c r="H358" s="32"/>
    </row>
    <row r="359" spans="1:8" ht="31.5">
      <c r="A359" s="156" t="s">
        <v>61</v>
      </c>
      <c r="B359" s="38" t="s">
        <v>62</v>
      </c>
      <c r="C359" s="38" t="s">
        <v>5</v>
      </c>
      <c r="D359" s="39" t="s">
        <v>6</v>
      </c>
      <c r="E359" s="40" t="s">
        <v>7</v>
      </c>
      <c r="F359" s="41" t="s">
        <v>8</v>
      </c>
      <c r="G359" s="41" t="s">
        <v>9</v>
      </c>
      <c r="H359" s="38" t="s">
        <v>63</v>
      </c>
    </row>
    <row r="360" spans="1:8" ht="15.75">
      <c r="A360" s="87"/>
      <c r="B360" s="43"/>
      <c r="C360" s="44"/>
      <c r="D360" s="45" t="s">
        <v>11</v>
      </c>
      <c r="E360" s="46" t="s">
        <v>64</v>
      </c>
      <c r="F360" s="46" t="s">
        <v>65</v>
      </c>
      <c r="G360" s="46" t="s">
        <v>66</v>
      </c>
      <c r="H360" s="157" t="s">
        <v>15</v>
      </c>
    </row>
    <row r="361" spans="1:8" s="20" customFormat="1" ht="15.75">
      <c r="A361" s="109">
        <v>1</v>
      </c>
      <c r="B361" s="43" t="s">
        <v>185</v>
      </c>
      <c r="C361" s="43">
        <v>0</v>
      </c>
      <c r="D361" s="180">
        <v>0</v>
      </c>
      <c r="E361" s="181">
        <v>1668.75</v>
      </c>
      <c r="F361" s="181">
        <v>500.625</v>
      </c>
      <c r="G361" s="181">
        <v>13350</v>
      </c>
      <c r="H361" s="43">
        <v>1610</v>
      </c>
    </row>
    <row r="362" spans="1:8" s="20" customFormat="1" ht="15.75">
      <c r="A362" s="109">
        <v>2</v>
      </c>
      <c r="B362" s="43" t="s">
        <v>227</v>
      </c>
      <c r="C362" s="43">
        <v>2</v>
      </c>
      <c r="D362" s="180">
        <v>566</v>
      </c>
      <c r="E362" s="181">
        <v>1.902</v>
      </c>
      <c r="F362" s="181">
        <v>1.902</v>
      </c>
      <c r="G362" s="181">
        <v>478.648</v>
      </c>
      <c r="H362" s="43">
        <v>20</v>
      </c>
    </row>
    <row r="363" spans="1:8" s="20" customFormat="1" ht="15.75">
      <c r="A363" s="110">
        <f>+A361+1</f>
        <v>2</v>
      </c>
      <c r="B363" s="43" t="s">
        <v>188</v>
      </c>
      <c r="C363" s="43">
        <v>23</v>
      </c>
      <c r="D363" s="180">
        <v>29.81</v>
      </c>
      <c r="E363" s="181">
        <v>1.193</v>
      </c>
      <c r="F363" s="181">
        <v>11.93</v>
      </c>
      <c r="G363" s="181">
        <v>1435.099</v>
      </c>
      <c r="H363" s="43">
        <v>150</v>
      </c>
    </row>
    <row r="364" spans="1:8" s="20" customFormat="1" ht="15.75">
      <c r="A364" s="110">
        <f aca="true" t="shared" si="37" ref="A364:A371">+A363+1</f>
        <v>3</v>
      </c>
      <c r="B364" s="43" t="s">
        <v>189</v>
      </c>
      <c r="C364" s="43">
        <v>0</v>
      </c>
      <c r="D364" s="180">
        <v>0</v>
      </c>
      <c r="E364" s="181">
        <v>5630.981</v>
      </c>
      <c r="F364" s="181">
        <v>4504.785</v>
      </c>
      <c r="G364" s="181">
        <v>45047.849</v>
      </c>
      <c r="H364" s="43">
        <v>0</v>
      </c>
    </row>
    <row r="365" spans="1:8" s="20" customFormat="1" ht="15.75">
      <c r="A365" s="110">
        <f t="shared" si="37"/>
        <v>4</v>
      </c>
      <c r="B365" s="43" t="s">
        <v>190</v>
      </c>
      <c r="C365" s="43">
        <v>5</v>
      </c>
      <c r="D365" s="180">
        <v>662</v>
      </c>
      <c r="E365" s="181">
        <v>115.087</v>
      </c>
      <c r="F365" s="181">
        <v>115.087</v>
      </c>
      <c r="G365" s="181">
        <v>6706.293</v>
      </c>
      <c r="H365" s="43">
        <v>50</v>
      </c>
    </row>
    <row r="366" spans="1:8" s="20" customFormat="1" ht="15.75">
      <c r="A366" s="110">
        <f t="shared" si="37"/>
        <v>5</v>
      </c>
      <c r="B366" s="43" t="s">
        <v>192</v>
      </c>
      <c r="C366" s="43">
        <v>31</v>
      </c>
      <c r="D366" s="180">
        <v>500.61</v>
      </c>
      <c r="E366" s="181">
        <v>28.486</v>
      </c>
      <c r="F366" s="181">
        <v>227.888</v>
      </c>
      <c r="G366" s="181">
        <v>7387.102</v>
      </c>
      <c r="H366" s="43">
        <v>150</v>
      </c>
    </row>
    <row r="367" spans="1:8" s="20" customFormat="1" ht="15.75">
      <c r="A367" s="110">
        <f t="shared" si="37"/>
        <v>6</v>
      </c>
      <c r="B367" s="43" t="s">
        <v>193</v>
      </c>
      <c r="C367" s="43">
        <v>422</v>
      </c>
      <c r="D367" s="180">
        <v>422</v>
      </c>
      <c r="E367" s="181">
        <f>6739.125</f>
        <v>6739.125</v>
      </c>
      <c r="F367" s="181">
        <f>2695.65</f>
        <v>2695.65</v>
      </c>
      <c r="G367" s="181">
        <f>48724.399</f>
        <v>48724.399</v>
      </c>
      <c r="H367" s="43">
        <v>3600</v>
      </c>
    </row>
    <row r="368" spans="1:8" s="20" customFormat="1" ht="15.75">
      <c r="A368" s="110">
        <f t="shared" si="37"/>
        <v>7</v>
      </c>
      <c r="B368" s="43" t="s">
        <v>205</v>
      </c>
      <c r="C368" s="43">
        <v>0</v>
      </c>
      <c r="D368" s="180">
        <v>0</v>
      </c>
      <c r="E368" s="181">
        <v>0</v>
      </c>
      <c r="F368" s="181">
        <v>0</v>
      </c>
      <c r="G368" s="181">
        <v>35</v>
      </c>
      <c r="H368" s="43">
        <v>0</v>
      </c>
    </row>
    <row r="369" spans="1:8" s="20" customFormat="1" ht="15.75">
      <c r="A369" s="110">
        <f t="shared" si="37"/>
        <v>8</v>
      </c>
      <c r="B369" s="43" t="s">
        <v>196</v>
      </c>
      <c r="C369" s="43">
        <v>1</v>
      </c>
      <c r="D369" s="180">
        <v>1</v>
      </c>
      <c r="E369" s="181">
        <v>0.038</v>
      </c>
      <c r="F369" s="181">
        <v>0.038</v>
      </c>
      <c r="G369" s="181">
        <v>14.513</v>
      </c>
      <c r="H369" s="43">
        <v>5</v>
      </c>
    </row>
    <row r="370" spans="1:8" ht="15.75">
      <c r="A370" s="110">
        <f t="shared" si="37"/>
        <v>9</v>
      </c>
      <c r="B370" s="43" t="s">
        <v>197</v>
      </c>
      <c r="C370" s="43">
        <v>19</v>
      </c>
      <c r="D370" s="180">
        <v>19</v>
      </c>
      <c r="E370" s="181">
        <v>0.868</v>
      </c>
      <c r="F370" s="181">
        <v>1.302</v>
      </c>
      <c r="G370" s="181">
        <v>237.663</v>
      </c>
      <c r="H370" s="43">
        <v>40</v>
      </c>
    </row>
    <row r="371" spans="1:8" ht="15.75">
      <c r="A371" s="110">
        <f t="shared" si="37"/>
        <v>10</v>
      </c>
      <c r="B371" s="43" t="s">
        <v>223</v>
      </c>
      <c r="C371" s="43">
        <v>0</v>
      </c>
      <c r="D371" s="180">
        <v>0</v>
      </c>
      <c r="E371" s="181">
        <v>0</v>
      </c>
      <c r="F371" s="181">
        <v>0</v>
      </c>
      <c r="G371" s="181">
        <f>4515+12819.593</f>
        <v>17334.593</v>
      </c>
      <c r="H371" s="43">
        <v>0</v>
      </c>
    </row>
    <row r="372" spans="1:8" ht="15.75">
      <c r="A372" s="59"/>
      <c r="B372" s="65" t="s">
        <v>80</v>
      </c>
      <c r="C372" s="210">
        <f aca="true" t="shared" si="38" ref="C372:H372">SUM(C361:C371)</f>
        <v>503</v>
      </c>
      <c r="D372" s="210">
        <f t="shared" si="38"/>
        <v>2200.42</v>
      </c>
      <c r="E372" s="210">
        <f t="shared" si="38"/>
        <v>14186.430000000002</v>
      </c>
      <c r="F372" s="210">
        <f t="shared" si="38"/>
        <v>8059.206999999999</v>
      </c>
      <c r="G372" s="210">
        <f t="shared" si="38"/>
        <v>140751.159</v>
      </c>
      <c r="H372" s="210">
        <f t="shared" si="38"/>
        <v>5625</v>
      </c>
    </row>
    <row r="373" spans="1:8" ht="17.25" customHeight="1">
      <c r="A373" s="67"/>
      <c r="B373" s="68"/>
      <c r="C373" s="69"/>
      <c r="D373" s="70"/>
      <c r="E373" s="71"/>
      <c r="F373" s="71"/>
      <c r="G373" s="71"/>
      <c r="H373" s="69"/>
    </row>
    <row r="374" spans="1:8" ht="17.25" customHeight="1">
      <c r="A374" s="30"/>
      <c r="B374" s="31"/>
      <c r="C374" s="32"/>
      <c r="D374" s="33" t="s">
        <v>175</v>
      </c>
      <c r="E374" s="34"/>
      <c r="F374" s="34"/>
      <c r="G374" s="34"/>
      <c r="H374" s="32"/>
    </row>
    <row r="375" spans="1:8" ht="32.25" customHeight="1">
      <c r="A375" s="156" t="s">
        <v>61</v>
      </c>
      <c r="B375" s="38" t="s">
        <v>62</v>
      </c>
      <c r="C375" s="38" t="s">
        <v>5</v>
      </c>
      <c r="D375" s="39" t="s">
        <v>6</v>
      </c>
      <c r="E375" s="40" t="s">
        <v>7</v>
      </c>
      <c r="F375" s="41" t="s">
        <v>8</v>
      </c>
      <c r="G375" s="41" t="s">
        <v>9</v>
      </c>
      <c r="H375" s="38" t="s">
        <v>63</v>
      </c>
    </row>
    <row r="376" spans="1:8" ht="17.25" customHeight="1">
      <c r="A376" s="87"/>
      <c r="B376" s="43"/>
      <c r="C376" s="44"/>
      <c r="D376" s="45" t="s">
        <v>11</v>
      </c>
      <c r="E376" s="46" t="s">
        <v>64</v>
      </c>
      <c r="F376" s="46" t="s">
        <v>65</v>
      </c>
      <c r="G376" s="46" t="s">
        <v>66</v>
      </c>
      <c r="H376" s="157" t="s">
        <v>15</v>
      </c>
    </row>
    <row r="377" spans="1:8" ht="17.25" customHeight="1">
      <c r="A377" s="73">
        <v>1</v>
      </c>
      <c r="B377" s="43" t="s">
        <v>185</v>
      </c>
      <c r="C377" s="43">
        <v>0</v>
      </c>
      <c r="D377" s="180">
        <v>0</v>
      </c>
      <c r="E377" s="181">
        <v>5892.6</v>
      </c>
      <c r="F377" s="181">
        <v>20152.69</v>
      </c>
      <c r="G377" s="181">
        <v>49256.188</v>
      </c>
      <c r="H377" s="43">
        <v>3904</v>
      </c>
    </row>
    <row r="378" spans="1:8" ht="17.25" customHeight="1">
      <c r="A378" s="21">
        <v>2</v>
      </c>
      <c r="B378" s="43" t="s">
        <v>199</v>
      </c>
      <c r="C378" s="43">
        <v>2</v>
      </c>
      <c r="D378" s="180">
        <v>0</v>
      </c>
      <c r="E378" s="181">
        <v>0.192</v>
      </c>
      <c r="F378" s="181">
        <v>18.617</v>
      </c>
      <c r="G378" s="181">
        <v>217.037</v>
      </c>
      <c r="H378" s="43">
        <v>30</v>
      </c>
    </row>
    <row r="379" spans="1:8" ht="17.25" customHeight="1">
      <c r="A379" s="196">
        <v>3</v>
      </c>
      <c r="B379" s="43" t="s">
        <v>223</v>
      </c>
      <c r="C379" s="43">
        <v>0</v>
      </c>
      <c r="D379" s="180">
        <v>0</v>
      </c>
      <c r="E379" s="181">
        <v>0</v>
      </c>
      <c r="F379" s="181">
        <v>0</v>
      </c>
      <c r="G379" s="181">
        <v>4563.049</v>
      </c>
      <c r="H379" s="43">
        <v>0</v>
      </c>
    </row>
    <row r="380" spans="1:8" ht="17.25" customHeight="1">
      <c r="A380" s="21"/>
      <c r="B380" s="74" t="s">
        <v>80</v>
      </c>
      <c r="C380" s="126">
        <f>SUM(C377:C379)</f>
        <v>2</v>
      </c>
      <c r="D380" s="127">
        <f>SUM(D377:D379)</f>
        <v>0</v>
      </c>
      <c r="E380" s="126">
        <f>SUM(E377:E379)</f>
        <v>5892.792</v>
      </c>
      <c r="F380" s="126">
        <f>SUM(F377:F379)</f>
        <v>20171.306999999997</v>
      </c>
      <c r="G380" s="126">
        <f>SUM(G377:G379)</f>
        <v>54036.274</v>
      </c>
      <c r="H380" s="126">
        <f>SUM(H377:H378)</f>
        <v>3934</v>
      </c>
    </row>
    <row r="381" spans="1:8" ht="17.25" customHeight="1">
      <c r="A381" s="75"/>
      <c r="B381" s="89"/>
      <c r="C381" s="90"/>
      <c r="D381" s="91"/>
      <c r="E381" s="92"/>
      <c r="F381" s="92"/>
      <c r="G381" s="92"/>
      <c r="H381" s="90"/>
    </row>
    <row r="382" spans="1:8" ht="17.25" customHeight="1">
      <c r="A382" s="75"/>
      <c r="B382" s="89"/>
      <c r="C382" s="90"/>
      <c r="D382" s="91"/>
      <c r="E382" s="92"/>
      <c r="F382" s="92"/>
      <c r="G382" s="92"/>
      <c r="H382" s="90"/>
    </row>
    <row r="383" spans="1:8" ht="15.75">
      <c r="A383" s="30"/>
      <c r="B383" s="31"/>
      <c r="C383" s="32"/>
      <c r="D383" s="33" t="s">
        <v>159</v>
      </c>
      <c r="E383" s="34"/>
      <c r="F383" s="34"/>
      <c r="G383" s="34"/>
      <c r="H383" s="32"/>
    </row>
    <row r="384" spans="1:8" ht="31.5">
      <c r="A384" s="156" t="s">
        <v>61</v>
      </c>
      <c r="B384" s="38" t="s">
        <v>62</v>
      </c>
      <c r="C384" s="38" t="s">
        <v>5</v>
      </c>
      <c r="D384" s="39" t="s">
        <v>6</v>
      </c>
      <c r="E384" s="40" t="s">
        <v>7</v>
      </c>
      <c r="F384" s="41" t="s">
        <v>8</v>
      </c>
      <c r="G384" s="41" t="s">
        <v>9</v>
      </c>
      <c r="H384" s="38" t="s">
        <v>63</v>
      </c>
    </row>
    <row r="385" spans="1:8" ht="15.75">
      <c r="A385" s="87"/>
      <c r="B385" s="43"/>
      <c r="C385" s="44"/>
      <c r="D385" s="45" t="s">
        <v>11</v>
      </c>
      <c r="E385" s="46" t="s">
        <v>64</v>
      </c>
      <c r="F385" s="46" t="s">
        <v>65</v>
      </c>
      <c r="G385" s="46" t="s">
        <v>66</v>
      </c>
      <c r="H385" s="157" t="s">
        <v>15</v>
      </c>
    </row>
    <row r="386" spans="1:8" ht="15.75">
      <c r="A386" s="73">
        <v>1</v>
      </c>
      <c r="B386" s="43" t="s">
        <v>188</v>
      </c>
      <c r="C386" s="43">
        <v>33</v>
      </c>
      <c r="D386" s="180">
        <v>55</v>
      </c>
      <c r="E386" s="181">
        <v>6.162</v>
      </c>
      <c r="F386" s="181">
        <v>43.13</v>
      </c>
      <c r="G386" s="181">
        <v>802</v>
      </c>
      <c r="H386" s="43">
        <v>135</v>
      </c>
    </row>
    <row r="387" spans="1:8" ht="15.75">
      <c r="A387" s="21">
        <f>+A386+1</f>
        <v>2</v>
      </c>
      <c r="B387" s="43" t="s">
        <v>189</v>
      </c>
      <c r="C387" s="43">
        <v>0</v>
      </c>
      <c r="D387" s="180">
        <v>0</v>
      </c>
      <c r="E387" s="181">
        <v>102.388</v>
      </c>
      <c r="F387" s="181">
        <v>51.19</v>
      </c>
      <c r="G387" s="181">
        <v>2792.375</v>
      </c>
      <c r="H387" s="43">
        <v>100</v>
      </c>
    </row>
    <row r="388" spans="1:8" ht="15.75">
      <c r="A388" s="21">
        <f>+A387+1</f>
        <v>3</v>
      </c>
      <c r="B388" s="43" t="s">
        <v>190</v>
      </c>
      <c r="C388" s="43">
        <v>36</v>
      </c>
      <c r="D388" s="180">
        <v>37.25</v>
      </c>
      <c r="E388" s="181">
        <v>349.803</v>
      </c>
      <c r="F388" s="181">
        <v>180.49</v>
      </c>
      <c r="G388" s="181">
        <v>3212</v>
      </c>
      <c r="H388" s="43">
        <v>415</v>
      </c>
    </row>
    <row r="389" spans="1:8" ht="15.75">
      <c r="A389" s="21">
        <f>+A388+1</f>
        <v>4</v>
      </c>
      <c r="B389" s="43" t="s">
        <v>192</v>
      </c>
      <c r="C389" s="43">
        <v>85</v>
      </c>
      <c r="D389" s="180">
        <v>74.95</v>
      </c>
      <c r="E389" s="181">
        <v>188.931</v>
      </c>
      <c r="F389" s="181">
        <v>1511.45</v>
      </c>
      <c r="G389" s="181">
        <v>27395</v>
      </c>
      <c r="H389" s="43">
        <v>1600</v>
      </c>
    </row>
    <row r="390" spans="1:8" ht="15.75">
      <c r="A390" s="21">
        <f>+A389+1</f>
        <v>5</v>
      </c>
      <c r="B390" s="43" t="s">
        <v>193</v>
      </c>
      <c r="C390" s="43">
        <v>55</v>
      </c>
      <c r="D390" s="180">
        <v>56</v>
      </c>
      <c r="E390" s="181">
        <v>365.807</v>
      </c>
      <c r="F390" s="181">
        <v>182.9</v>
      </c>
      <c r="G390" s="181">
        <v>2979.096</v>
      </c>
      <c r="H390" s="43">
        <v>275</v>
      </c>
    </row>
    <row r="391" spans="1:8" ht="15.75">
      <c r="A391" s="196">
        <v>6</v>
      </c>
      <c r="B391" s="43" t="s">
        <v>223</v>
      </c>
      <c r="C391" s="43">
        <v>0</v>
      </c>
      <c r="D391" s="180">
        <v>0</v>
      </c>
      <c r="E391" s="181">
        <v>0</v>
      </c>
      <c r="F391" s="181">
        <v>0</v>
      </c>
      <c r="G391" s="181">
        <v>3101.529</v>
      </c>
      <c r="H391" s="43">
        <v>0</v>
      </c>
    </row>
    <row r="392" spans="1:8" ht="15.75">
      <c r="A392" s="59"/>
      <c r="B392" s="65" t="s">
        <v>80</v>
      </c>
      <c r="C392" s="210">
        <f aca="true" t="shared" si="39" ref="C392:H392">SUM(C386:C391)</f>
        <v>209</v>
      </c>
      <c r="D392" s="217">
        <f t="shared" si="39"/>
        <v>223.2</v>
      </c>
      <c r="E392" s="210">
        <f t="shared" si="39"/>
        <v>1013.091</v>
      </c>
      <c r="F392" s="218">
        <f t="shared" si="39"/>
        <v>1969.16</v>
      </c>
      <c r="G392" s="218">
        <f t="shared" si="39"/>
        <v>40282</v>
      </c>
      <c r="H392" s="210">
        <f t="shared" si="39"/>
        <v>2525</v>
      </c>
    </row>
    <row r="393" spans="1:8" ht="15.75">
      <c r="A393" s="67"/>
      <c r="B393" s="68"/>
      <c r="C393" s="69"/>
      <c r="D393" s="70"/>
      <c r="E393" s="71"/>
      <c r="F393" s="71"/>
      <c r="G393" s="71"/>
      <c r="H393" s="69"/>
    </row>
    <row r="394" spans="1:8" ht="15.75">
      <c r="A394" s="30"/>
      <c r="B394" s="31"/>
      <c r="C394" s="32"/>
      <c r="D394" s="33" t="s">
        <v>214</v>
      </c>
      <c r="E394" s="34"/>
      <c r="F394" s="34"/>
      <c r="G394" s="34"/>
      <c r="H394" s="32"/>
    </row>
    <row r="395" spans="1:8" ht="31.5">
      <c r="A395" s="156" t="s">
        <v>61</v>
      </c>
      <c r="B395" s="38" t="s">
        <v>62</v>
      </c>
      <c r="C395" s="38" t="s">
        <v>5</v>
      </c>
      <c r="D395" s="39" t="s">
        <v>6</v>
      </c>
      <c r="E395" s="40" t="s">
        <v>7</v>
      </c>
      <c r="F395" s="41" t="s">
        <v>8</v>
      </c>
      <c r="G395" s="41" t="s">
        <v>9</v>
      </c>
      <c r="H395" s="38" t="s">
        <v>63</v>
      </c>
    </row>
    <row r="396" spans="1:8" ht="15.75">
      <c r="A396" s="87"/>
      <c r="B396" s="43"/>
      <c r="C396" s="44"/>
      <c r="D396" s="45" t="s">
        <v>11</v>
      </c>
      <c r="E396" s="46" t="s">
        <v>64</v>
      </c>
      <c r="F396" s="46" t="s">
        <v>65</v>
      </c>
      <c r="G396" s="46" t="s">
        <v>66</v>
      </c>
      <c r="H396" s="157" t="s">
        <v>15</v>
      </c>
    </row>
    <row r="397" spans="1:8" ht="15.75">
      <c r="A397" s="73">
        <v>1</v>
      </c>
      <c r="B397" s="43" t="s">
        <v>185</v>
      </c>
      <c r="C397" s="43">
        <v>0</v>
      </c>
      <c r="D397" s="180">
        <v>0</v>
      </c>
      <c r="E397" s="181">
        <f>894.807+2.7</f>
        <v>897.5070000000001</v>
      </c>
      <c r="F397" s="181">
        <v>492.144</v>
      </c>
      <c r="G397" s="181">
        <f>243.5+159.98</f>
        <v>403.48</v>
      </c>
      <c r="H397" s="43"/>
    </row>
    <row r="398" spans="1:8" ht="15.75">
      <c r="A398" s="21">
        <v>2</v>
      </c>
      <c r="B398" s="43" t="s">
        <v>188</v>
      </c>
      <c r="C398" s="43">
        <v>34</v>
      </c>
      <c r="D398" s="180">
        <v>53</v>
      </c>
      <c r="E398" s="181">
        <v>12.611</v>
      </c>
      <c r="F398" s="181">
        <v>138.721</v>
      </c>
      <c r="G398" s="181">
        <v>1265.387</v>
      </c>
      <c r="H398" s="43">
        <v>238</v>
      </c>
    </row>
    <row r="399" spans="1:8" ht="15.75">
      <c r="A399" s="73">
        <v>3</v>
      </c>
      <c r="B399" s="43" t="s">
        <v>189</v>
      </c>
      <c r="C399" s="43">
        <v>0</v>
      </c>
      <c r="D399" s="180">
        <v>0</v>
      </c>
      <c r="E399" s="181">
        <v>196.201</v>
      </c>
      <c r="F399" s="181">
        <v>107.911</v>
      </c>
      <c r="G399" s="181">
        <v>1569.608</v>
      </c>
      <c r="H399" s="43">
        <v>0</v>
      </c>
    </row>
    <row r="400" spans="1:8" ht="15.75">
      <c r="A400" s="21">
        <v>4</v>
      </c>
      <c r="B400" s="43" t="s">
        <v>190</v>
      </c>
      <c r="C400" s="43">
        <v>31</v>
      </c>
      <c r="D400" s="180">
        <v>2450.27</v>
      </c>
      <c r="E400" s="181">
        <v>314.157</v>
      </c>
      <c r="F400" s="181">
        <v>270.175</v>
      </c>
      <c r="G400" s="181">
        <v>14142.949</v>
      </c>
      <c r="H400" s="43">
        <v>186</v>
      </c>
    </row>
    <row r="401" spans="1:8" ht="15.75">
      <c r="A401" s="73">
        <v>5</v>
      </c>
      <c r="B401" s="43" t="s">
        <v>192</v>
      </c>
      <c r="C401" s="43">
        <v>8</v>
      </c>
      <c r="D401" s="180">
        <v>13</v>
      </c>
      <c r="E401" s="181">
        <v>0</v>
      </c>
      <c r="F401" s="181">
        <v>0</v>
      </c>
      <c r="G401" s="181">
        <v>216.137</v>
      </c>
      <c r="H401" s="43">
        <v>16</v>
      </c>
    </row>
    <row r="402" spans="1:8" ht="15.75">
      <c r="A402" s="21">
        <v>6</v>
      </c>
      <c r="B402" s="43" t="s">
        <v>193</v>
      </c>
      <c r="C402" s="43">
        <v>108</v>
      </c>
      <c r="D402" s="180">
        <v>136.48</v>
      </c>
      <c r="E402" s="181">
        <v>237.586</v>
      </c>
      <c r="F402" s="181">
        <v>142.552</v>
      </c>
      <c r="G402" s="181">
        <v>3520.276</v>
      </c>
      <c r="H402" s="43">
        <v>324</v>
      </c>
    </row>
    <row r="403" spans="1:8" ht="15.75">
      <c r="A403" s="73">
        <v>7</v>
      </c>
      <c r="B403" s="43" t="s">
        <v>196</v>
      </c>
      <c r="C403" s="43">
        <v>0</v>
      </c>
      <c r="D403" s="180">
        <v>0</v>
      </c>
      <c r="E403" s="181">
        <v>1443.54</v>
      </c>
      <c r="F403" s="181">
        <v>866.124</v>
      </c>
      <c r="G403" s="181">
        <v>1130.368</v>
      </c>
      <c r="H403" s="43">
        <v>534</v>
      </c>
    </row>
    <row r="404" spans="1:8" ht="15.75">
      <c r="A404" s="21">
        <v>8</v>
      </c>
      <c r="B404" s="43" t="s">
        <v>198</v>
      </c>
      <c r="C404" s="43">
        <v>28</v>
      </c>
      <c r="D404" s="180">
        <v>28</v>
      </c>
      <c r="E404" s="181">
        <v>15.076</v>
      </c>
      <c r="F404" s="181">
        <v>15.076</v>
      </c>
      <c r="G404" s="181">
        <v>942.278</v>
      </c>
      <c r="H404" s="43">
        <v>112</v>
      </c>
    </row>
    <row r="405" spans="1:8" ht="15.75">
      <c r="A405" s="73">
        <v>9</v>
      </c>
      <c r="B405" s="43" t="s">
        <v>79</v>
      </c>
      <c r="C405" s="43">
        <v>0</v>
      </c>
      <c r="D405" s="180">
        <v>0</v>
      </c>
      <c r="E405" s="180">
        <v>0</v>
      </c>
      <c r="F405" s="180">
        <v>0</v>
      </c>
      <c r="G405" s="181">
        <v>16461.634</v>
      </c>
      <c r="H405" s="43">
        <v>0</v>
      </c>
    </row>
    <row r="406" spans="1:8" ht="15.75">
      <c r="A406" s="21">
        <v>10</v>
      </c>
      <c r="B406" s="43" t="s">
        <v>223</v>
      </c>
      <c r="C406" s="43">
        <v>0</v>
      </c>
      <c r="D406" s="180">
        <v>0</v>
      </c>
      <c r="E406" s="180">
        <v>0</v>
      </c>
      <c r="F406" s="180">
        <v>0</v>
      </c>
      <c r="G406" s="181">
        <v>8033.706</v>
      </c>
      <c r="H406" s="43">
        <v>0</v>
      </c>
    </row>
    <row r="407" spans="1:8" ht="15.75">
      <c r="A407" s="21"/>
      <c r="B407" s="74" t="s">
        <v>80</v>
      </c>
      <c r="C407" s="126">
        <f aca="true" t="shared" si="40" ref="C407:H407">SUM(C397:C406)</f>
        <v>209</v>
      </c>
      <c r="D407" s="126">
        <f t="shared" si="40"/>
        <v>2680.75</v>
      </c>
      <c r="E407" s="126">
        <f t="shared" si="40"/>
        <v>3116.678</v>
      </c>
      <c r="F407" s="126">
        <f t="shared" si="40"/>
        <v>2032.703</v>
      </c>
      <c r="G407" s="126">
        <f t="shared" si="40"/>
        <v>47685.823</v>
      </c>
      <c r="H407" s="126">
        <f t="shared" si="40"/>
        <v>1410</v>
      </c>
    </row>
    <row r="408" spans="1:8" ht="15.75">
      <c r="A408" s="75"/>
      <c r="B408" s="89"/>
      <c r="C408" s="90"/>
      <c r="D408" s="91"/>
      <c r="E408" s="92"/>
      <c r="F408" s="92"/>
      <c r="G408" s="92"/>
      <c r="H408" s="90"/>
    </row>
    <row r="409" spans="1:8" ht="15.75">
      <c r="A409" s="30"/>
      <c r="B409" s="31"/>
      <c r="C409" s="32"/>
      <c r="D409" s="33" t="s">
        <v>160</v>
      </c>
      <c r="E409" s="34"/>
      <c r="F409" s="34"/>
      <c r="G409" s="34"/>
      <c r="H409" s="32"/>
    </row>
    <row r="410" spans="1:8" ht="31.5">
      <c r="A410" s="156" t="s">
        <v>61</v>
      </c>
      <c r="B410" s="38" t="s">
        <v>62</v>
      </c>
      <c r="C410" s="38" t="s">
        <v>5</v>
      </c>
      <c r="D410" s="39" t="s">
        <v>6</v>
      </c>
      <c r="E410" s="40" t="s">
        <v>7</v>
      </c>
      <c r="F410" s="41" t="s">
        <v>8</v>
      </c>
      <c r="G410" s="41" t="s">
        <v>9</v>
      </c>
      <c r="H410" s="38" t="s">
        <v>63</v>
      </c>
    </row>
    <row r="411" spans="1:8" ht="15.75">
      <c r="A411" s="87"/>
      <c r="B411" s="43"/>
      <c r="C411" s="44"/>
      <c r="D411" s="45" t="s">
        <v>11</v>
      </c>
      <c r="E411" s="46" t="s">
        <v>64</v>
      </c>
      <c r="F411" s="46" t="s">
        <v>65</v>
      </c>
      <c r="G411" s="46" t="s">
        <v>66</v>
      </c>
      <c r="H411" s="157" t="s">
        <v>15</v>
      </c>
    </row>
    <row r="412" spans="1:8" ht="15.75">
      <c r="A412" s="73">
        <v>1</v>
      </c>
      <c r="B412" s="43" t="s">
        <v>188</v>
      </c>
      <c r="C412" s="43">
        <v>0</v>
      </c>
      <c r="D412" s="180">
        <v>0</v>
      </c>
      <c r="E412" s="181">
        <v>0</v>
      </c>
      <c r="F412" s="181">
        <v>0</v>
      </c>
      <c r="G412" s="181">
        <v>49.35</v>
      </c>
      <c r="H412" s="43">
        <v>0</v>
      </c>
    </row>
    <row r="413" spans="1:8" ht="15.75">
      <c r="A413" s="21">
        <f>+A412+1</f>
        <v>2</v>
      </c>
      <c r="B413" s="43" t="s">
        <v>189</v>
      </c>
      <c r="C413" s="43">
        <v>0</v>
      </c>
      <c r="D413" s="180">
        <v>0</v>
      </c>
      <c r="E413" s="181">
        <v>48.25</v>
      </c>
      <c r="F413" s="181">
        <f>+E413*0.5</f>
        <v>24.125</v>
      </c>
      <c r="G413" s="181">
        <v>386</v>
      </c>
      <c r="H413" s="43">
        <v>80</v>
      </c>
    </row>
    <row r="414" spans="1:8" ht="15.75">
      <c r="A414" s="21">
        <f>+A413+1</f>
        <v>3</v>
      </c>
      <c r="B414" s="43" t="s">
        <v>190</v>
      </c>
      <c r="C414" s="43">
        <v>9</v>
      </c>
      <c r="D414" s="180">
        <v>10.271</v>
      </c>
      <c r="E414" s="181">
        <v>12.17</v>
      </c>
      <c r="F414" s="181">
        <v>15.21</v>
      </c>
      <c r="G414" s="181">
        <v>636</v>
      </c>
      <c r="H414" s="43">
        <v>50</v>
      </c>
    </row>
    <row r="415" spans="1:8" ht="15.75">
      <c r="A415" s="21">
        <f>+A414+1</f>
        <v>4</v>
      </c>
      <c r="B415" s="43" t="s">
        <v>192</v>
      </c>
      <c r="C415" s="43">
        <v>53</v>
      </c>
      <c r="D415" s="180">
        <v>56.75</v>
      </c>
      <c r="E415" s="181">
        <v>88.171</v>
      </c>
      <c r="F415" s="181">
        <v>1013.96</v>
      </c>
      <c r="G415" s="181">
        <v>12618.776</v>
      </c>
      <c r="H415" s="43">
        <v>550</v>
      </c>
    </row>
    <row r="416" spans="1:8" ht="15.75">
      <c r="A416" s="21">
        <v>5</v>
      </c>
      <c r="B416" s="43" t="s">
        <v>193</v>
      </c>
      <c r="C416" s="43">
        <v>3</v>
      </c>
      <c r="D416" s="180">
        <v>4</v>
      </c>
      <c r="E416" s="181">
        <v>484.916</v>
      </c>
      <c r="F416" s="181">
        <v>145.47</v>
      </c>
      <c r="G416" s="181">
        <v>66</v>
      </c>
      <c r="H416" s="43">
        <v>35</v>
      </c>
    </row>
    <row r="417" spans="1:8" ht="15.75">
      <c r="A417" s="21">
        <v>6</v>
      </c>
      <c r="B417" s="43" t="s">
        <v>197</v>
      </c>
      <c r="C417" s="43">
        <v>1</v>
      </c>
      <c r="D417" s="180">
        <v>1</v>
      </c>
      <c r="E417" s="181">
        <v>0</v>
      </c>
      <c r="F417" s="181">
        <v>0</v>
      </c>
      <c r="G417" s="181">
        <v>0</v>
      </c>
      <c r="H417" s="43">
        <v>0</v>
      </c>
    </row>
    <row r="418" spans="1:8" ht="15.75">
      <c r="A418" s="21">
        <v>7</v>
      </c>
      <c r="B418" s="43" t="s">
        <v>79</v>
      </c>
      <c r="C418" s="43">
        <v>0</v>
      </c>
      <c r="D418" s="180">
        <v>0</v>
      </c>
      <c r="E418" s="181">
        <v>0</v>
      </c>
      <c r="F418" s="181">
        <v>0</v>
      </c>
      <c r="G418" s="181">
        <v>231.112</v>
      </c>
      <c r="H418" s="43">
        <v>0</v>
      </c>
    </row>
    <row r="419" spans="1:8" ht="15.75">
      <c r="A419" s="21">
        <v>8</v>
      </c>
      <c r="B419" s="43" t="s">
        <v>223</v>
      </c>
      <c r="C419" s="43">
        <v>0</v>
      </c>
      <c r="D419" s="180">
        <v>0</v>
      </c>
      <c r="E419" s="181">
        <v>0</v>
      </c>
      <c r="F419" s="181">
        <v>0</v>
      </c>
      <c r="G419" s="181">
        <v>3850.338</v>
      </c>
      <c r="H419" s="43">
        <v>0</v>
      </c>
    </row>
    <row r="420" spans="1:8" ht="15.75">
      <c r="A420" s="21"/>
      <c r="B420" s="74" t="s">
        <v>80</v>
      </c>
      <c r="C420" s="126">
        <f aca="true" t="shared" si="41" ref="C420:H420">SUM(C412:C419)</f>
        <v>66</v>
      </c>
      <c r="D420" s="127">
        <f t="shared" si="41"/>
        <v>72.021</v>
      </c>
      <c r="E420" s="126">
        <f t="shared" si="41"/>
        <v>633.5070000000001</v>
      </c>
      <c r="F420" s="126">
        <f t="shared" si="41"/>
        <v>1198.765</v>
      </c>
      <c r="G420" s="126">
        <f t="shared" si="41"/>
        <v>17837.576</v>
      </c>
      <c r="H420" s="126">
        <f t="shared" si="41"/>
        <v>715</v>
      </c>
    </row>
    <row r="421" spans="1:8" ht="15.75">
      <c r="A421" s="75"/>
      <c r="B421" s="89"/>
      <c r="C421" s="90"/>
      <c r="D421" s="91"/>
      <c r="E421" s="92"/>
      <c r="F421" s="92"/>
      <c r="G421" s="92"/>
      <c r="H421" s="90"/>
    </row>
    <row r="422" spans="1:8" ht="15.75">
      <c r="A422" s="30"/>
      <c r="B422" s="31"/>
      <c r="C422" s="32"/>
      <c r="D422" s="33" t="s">
        <v>173</v>
      </c>
      <c r="E422" s="34"/>
      <c r="F422" s="34"/>
      <c r="G422" s="34"/>
      <c r="H422" s="32"/>
    </row>
    <row r="423" spans="1:8" ht="31.5">
      <c r="A423" s="156" t="s">
        <v>61</v>
      </c>
      <c r="B423" s="38" t="s">
        <v>62</v>
      </c>
      <c r="C423" s="38" t="s">
        <v>5</v>
      </c>
      <c r="D423" s="39" t="s">
        <v>6</v>
      </c>
      <c r="E423" s="40" t="s">
        <v>7</v>
      </c>
      <c r="F423" s="41" t="s">
        <v>8</v>
      </c>
      <c r="G423" s="41" t="s">
        <v>9</v>
      </c>
      <c r="H423" s="38" t="s">
        <v>63</v>
      </c>
    </row>
    <row r="424" spans="1:8" ht="15.75">
      <c r="A424" s="87"/>
      <c r="B424" s="43"/>
      <c r="C424" s="44"/>
      <c r="D424" s="45" t="s">
        <v>11</v>
      </c>
      <c r="E424" s="46" t="s">
        <v>64</v>
      </c>
      <c r="F424" s="46" t="s">
        <v>65</v>
      </c>
      <c r="G424" s="46" t="s">
        <v>66</v>
      </c>
      <c r="H424" s="157" t="s">
        <v>15</v>
      </c>
    </row>
    <row r="425" spans="1:8" ht="15.75">
      <c r="A425" s="73">
        <v>1</v>
      </c>
      <c r="B425" s="43" t="s">
        <v>185</v>
      </c>
      <c r="C425" s="43">
        <v>0</v>
      </c>
      <c r="D425" s="180">
        <v>0</v>
      </c>
      <c r="E425" s="181">
        <v>65</v>
      </c>
      <c r="F425" s="181">
        <v>650</v>
      </c>
      <c r="G425" s="181">
        <v>520</v>
      </c>
      <c r="H425" s="43">
        <v>60</v>
      </c>
    </row>
    <row r="426" spans="1:8" ht="15.75">
      <c r="A426" s="21">
        <f>+A425+1</f>
        <v>2</v>
      </c>
      <c r="B426" s="43" t="s">
        <v>188</v>
      </c>
      <c r="C426" s="43">
        <v>2</v>
      </c>
      <c r="D426" s="180">
        <v>2</v>
      </c>
      <c r="E426" s="181">
        <v>0.68</v>
      </c>
      <c r="F426" s="181">
        <v>3.4</v>
      </c>
      <c r="G426" s="181">
        <v>51</v>
      </c>
      <c r="H426" s="43">
        <v>12</v>
      </c>
    </row>
    <row r="427" spans="1:8" ht="15.75">
      <c r="A427" s="21">
        <f>+A426+1</f>
        <v>3</v>
      </c>
      <c r="B427" s="43" t="s">
        <v>189</v>
      </c>
      <c r="C427" s="43">
        <v>0</v>
      </c>
      <c r="D427" s="180">
        <v>0</v>
      </c>
      <c r="E427" s="181">
        <v>14352.875</v>
      </c>
      <c r="F427" s="181">
        <v>7176.437</v>
      </c>
      <c r="G427" s="181">
        <v>114823</v>
      </c>
      <c r="H427" s="43">
        <v>840</v>
      </c>
    </row>
    <row r="428" spans="1:8" ht="15.75">
      <c r="A428" s="21">
        <f>+A427+1</f>
        <v>4</v>
      </c>
      <c r="B428" s="43" t="s">
        <v>190</v>
      </c>
      <c r="C428" s="43">
        <v>1</v>
      </c>
      <c r="D428" s="180">
        <v>1</v>
      </c>
      <c r="E428" s="181">
        <v>0.625</v>
      </c>
      <c r="F428" s="181">
        <v>0.937</v>
      </c>
      <c r="G428" s="181">
        <v>25</v>
      </c>
      <c r="H428" s="43">
        <v>7</v>
      </c>
    </row>
    <row r="429" spans="1:8" ht="15.75">
      <c r="A429" s="21">
        <f>+A428+1</f>
        <v>5</v>
      </c>
      <c r="B429" s="43" t="s">
        <v>193</v>
      </c>
      <c r="C429" s="43">
        <v>128</v>
      </c>
      <c r="D429" s="180">
        <v>151.07</v>
      </c>
      <c r="E429" s="181">
        <v>644.625</v>
      </c>
      <c r="F429" s="181">
        <v>322.312</v>
      </c>
      <c r="G429" s="181">
        <f>3495.4+1661.6</f>
        <v>5157</v>
      </c>
      <c r="H429" s="43">
        <v>820</v>
      </c>
    </row>
    <row r="430" spans="1:8" ht="15.75">
      <c r="A430" s="21">
        <f>+A429+1</f>
        <v>6</v>
      </c>
      <c r="B430" s="43" t="s">
        <v>196</v>
      </c>
      <c r="C430" s="43">
        <v>50</v>
      </c>
      <c r="D430" s="180">
        <v>56</v>
      </c>
      <c r="E430" s="181">
        <v>265.137</v>
      </c>
      <c r="F430" s="181">
        <f>524.448+5.827</f>
        <v>530.275</v>
      </c>
      <c r="G430" s="181">
        <f>576.892+64.108</f>
        <v>641</v>
      </c>
      <c r="H430" s="43">
        <v>250</v>
      </c>
    </row>
    <row r="431" spans="1:8" ht="15.75">
      <c r="A431" s="1">
        <v>7</v>
      </c>
      <c r="B431" s="43" t="s">
        <v>203</v>
      </c>
      <c r="C431" s="43">
        <v>3</v>
      </c>
      <c r="D431" s="180">
        <v>2.65</v>
      </c>
      <c r="E431" s="181">
        <v>0.805</v>
      </c>
      <c r="F431" s="181">
        <v>1.61</v>
      </c>
      <c r="G431" s="181">
        <v>29</v>
      </c>
      <c r="H431" s="43">
        <v>20</v>
      </c>
    </row>
    <row r="432" spans="1:8" ht="15.75">
      <c r="A432" s="196">
        <v>8</v>
      </c>
      <c r="B432" s="43" t="s">
        <v>223</v>
      </c>
      <c r="C432" s="43">
        <v>0</v>
      </c>
      <c r="D432" s="180">
        <v>0</v>
      </c>
      <c r="E432" s="181">
        <v>0</v>
      </c>
      <c r="F432" s="181">
        <v>0</v>
      </c>
      <c r="G432" s="181">
        <v>13159</v>
      </c>
      <c r="H432" s="43">
        <v>0</v>
      </c>
    </row>
    <row r="433" spans="1:8" ht="15.75">
      <c r="A433" s="59"/>
      <c r="B433" s="65" t="s">
        <v>80</v>
      </c>
      <c r="C433" s="210">
        <f aca="true" t="shared" si="42" ref="C433:H433">SUM(C425:C432)</f>
        <v>184</v>
      </c>
      <c r="D433" s="210">
        <f t="shared" si="42"/>
        <v>212.72</v>
      </c>
      <c r="E433" s="210">
        <f t="shared" si="42"/>
        <v>15329.747000000001</v>
      </c>
      <c r="F433" s="210">
        <f t="shared" si="42"/>
        <v>8684.971</v>
      </c>
      <c r="G433" s="218">
        <f t="shared" si="42"/>
        <v>134405</v>
      </c>
      <c r="H433" s="210">
        <f t="shared" si="42"/>
        <v>2009</v>
      </c>
    </row>
    <row r="434" spans="1:8" ht="15.75">
      <c r="A434" s="67"/>
      <c r="B434" s="68"/>
      <c r="C434" s="69"/>
      <c r="D434" s="70"/>
      <c r="E434" s="71"/>
      <c r="F434" s="71"/>
      <c r="G434" s="71"/>
      <c r="H434" s="69"/>
    </row>
    <row r="435" spans="1:8" ht="15.75">
      <c r="A435" s="30"/>
      <c r="B435" s="31"/>
      <c r="C435" s="32"/>
      <c r="D435" s="33" t="s">
        <v>151</v>
      </c>
      <c r="E435" s="34"/>
      <c r="F435" s="34"/>
      <c r="G435" s="34"/>
      <c r="H435" s="32"/>
    </row>
    <row r="436" spans="1:8" ht="31.5">
      <c r="A436" s="156" t="s">
        <v>61</v>
      </c>
      <c r="B436" s="38" t="s">
        <v>62</v>
      </c>
      <c r="C436" s="38" t="s">
        <v>5</v>
      </c>
      <c r="D436" s="39" t="s">
        <v>6</v>
      </c>
      <c r="E436" s="40" t="s">
        <v>7</v>
      </c>
      <c r="F436" s="41" t="s">
        <v>8</v>
      </c>
      <c r="G436" s="41" t="s">
        <v>9</v>
      </c>
      <c r="H436" s="38" t="s">
        <v>63</v>
      </c>
    </row>
    <row r="437" spans="1:8" ht="15.75">
      <c r="A437" s="87"/>
      <c r="B437" s="43"/>
      <c r="C437" s="44"/>
      <c r="D437" s="45" t="s">
        <v>11</v>
      </c>
      <c r="E437" s="46" t="s">
        <v>64</v>
      </c>
      <c r="F437" s="46" t="s">
        <v>65</v>
      </c>
      <c r="G437" s="46" t="s">
        <v>66</v>
      </c>
      <c r="H437" s="157" t="s">
        <v>15</v>
      </c>
    </row>
    <row r="438" spans="1:8" ht="15.75">
      <c r="A438" s="73">
        <v>1</v>
      </c>
      <c r="B438" s="43" t="s">
        <v>189</v>
      </c>
      <c r="C438" s="43">
        <v>0</v>
      </c>
      <c r="D438" s="180">
        <v>0</v>
      </c>
      <c r="E438" s="181">
        <v>1549.25</v>
      </c>
      <c r="F438" s="181">
        <v>2168.95</v>
      </c>
      <c r="G438" s="181">
        <v>13299</v>
      </c>
      <c r="H438" s="43">
        <v>400</v>
      </c>
    </row>
    <row r="439" spans="1:8" ht="15.75">
      <c r="A439" s="21">
        <f>+A438+1</f>
        <v>2</v>
      </c>
      <c r="B439" s="43" t="s">
        <v>190</v>
      </c>
      <c r="C439" s="43">
        <v>8</v>
      </c>
      <c r="D439" s="180">
        <v>9.31</v>
      </c>
      <c r="E439" s="181">
        <v>44.822</v>
      </c>
      <c r="F439" s="181">
        <v>89.644</v>
      </c>
      <c r="G439" s="181">
        <v>2798</v>
      </c>
      <c r="H439" s="43">
        <v>179</v>
      </c>
    </row>
    <row r="440" spans="1:8" ht="15.75">
      <c r="A440" s="21">
        <f>+A439+1</f>
        <v>3</v>
      </c>
      <c r="B440" s="43" t="s">
        <v>192</v>
      </c>
      <c r="C440" s="43">
        <v>85</v>
      </c>
      <c r="D440" s="180">
        <v>79</v>
      </c>
      <c r="E440" s="181">
        <v>135.917</v>
      </c>
      <c r="F440" s="181">
        <v>1331.986</v>
      </c>
      <c r="G440" s="181">
        <v>13859</v>
      </c>
      <c r="H440" s="43">
        <v>1087</v>
      </c>
    </row>
    <row r="441" spans="1:8" ht="15.75">
      <c r="A441" s="21">
        <f>+A440+1</f>
        <v>4</v>
      </c>
      <c r="B441" s="43" t="s">
        <v>193</v>
      </c>
      <c r="C441" s="43">
        <v>69</v>
      </c>
      <c r="D441" s="180">
        <v>79.43</v>
      </c>
      <c r="E441" s="181">
        <v>1442</v>
      </c>
      <c r="F441" s="181">
        <v>1730.4</v>
      </c>
      <c r="G441" s="181">
        <v>17918</v>
      </c>
      <c r="H441" s="43">
        <v>5768</v>
      </c>
    </row>
    <row r="442" spans="1:8" ht="15.75">
      <c r="A442" s="21">
        <f>+A441+1</f>
        <v>5</v>
      </c>
      <c r="B442" s="43" t="s">
        <v>196</v>
      </c>
      <c r="C442" s="43">
        <v>0</v>
      </c>
      <c r="D442" s="180">
        <v>0</v>
      </c>
      <c r="E442" s="181">
        <v>0</v>
      </c>
      <c r="F442" s="181">
        <v>0</v>
      </c>
      <c r="G442" s="181">
        <v>0</v>
      </c>
      <c r="H442" s="43">
        <v>0</v>
      </c>
    </row>
    <row r="443" spans="1:8" ht="15.75">
      <c r="A443" s="21">
        <f>+A442+1</f>
        <v>6</v>
      </c>
      <c r="B443" s="43" t="s">
        <v>197</v>
      </c>
      <c r="C443" s="43">
        <v>0</v>
      </c>
      <c r="D443" s="180">
        <v>0</v>
      </c>
      <c r="E443" s="181">
        <v>0</v>
      </c>
      <c r="F443" s="181">
        <v>0</v>
      </c>
      <c r="G443" s="181">
        <v>625</v>
      </c>
      <c r="H443" s="43">
        <v>0</v>
      </c>
    </row>
    <row r="444" spans="1:8" ht="15.75">
      <c r="A444" s="21">
        <v>7</v>
      </c>
      <c r="B444" s="43" t="s">
        <v>201</v>
      </c>
      <c r="C444" s="43">
        <v>27</v>
      </c>
      <c r="D444" s="180">
        <v>38.62</v>
      </c>
      <c r="E444" s="181">
        <v>42.862</v>
      </c>
      <c r="F444" s="181">
        <v>857.24</v>
      </c>
      <c r="G444" s="181">
        <v>3401</v>
      </c>
      <c r="H444" s="43">
        <v>342</v>
      </c>
    </row>
    <row r="445" spans="1:8" ht="15.75" customHeight="1">
      <c r="A445" s="21"/>
      <c r="B445" s="74" t="s">
        <v>80</v>
      </c>
      <c r="C445" s="126">
        <f aca="true" t="shared" si="43" ref="C445:H445">SUM(C438:C444)</f>
        <v>189</v>
      </c>
      <c r="D445" s="126">
        <f t="shared" si="43"/>
        <v>206.36</v>
      </c>
      <c r="E445" s="126">
        <f t="shared" si="43"/>
        <v>3214.851</v>
      </c>
      <c r="F445" s="126">
        <f t="shared" si="43"/>
        <v>6178.219999999999</v>
      </c>
      <c r="G445" s="128">
        <f t="shared" si="43"/>
        <v>51900</v>
      </c>
      <c r="H445" s="126">
        <f t="shared" si="43"/>
        <v>7776</v>
      </c>
    </row>
    <row r="446" spans="1:8" ht="15.75">
      <c r="A446" s="21"/>
      <c r="B446" s="74"/>
      <c r="C446" s="126"/>
      <c r="D446" s="127"/>
      <c r="E446" s="128"/>
      <c r="F446" s="128"/>
      <c r="G446" s="128"/>
      <c r="H446" s="126"/>
    </row>
    <row r="447" spans="1:8" ht="15.75">
      <c r="A447" s="21"/>
      <c r="B447" s="74" t="s">
        <v>56</v>
      </c>
      <c r="C447" s="126">
        <f>C122+C87+C98+C180+C190+C201+C215+C286+C299+C329+C420+C380+C433+C40+C16+C30+C62+C76+C49+C111+C130+C144+C159+C169+C229+C239+C252+C265+C277+C307+C316+C336+C346+C356+C372+C392+C407+C445</f>
        <v>8821</v>
      </c>
      <c r="D447" s="127">
        <f>D122+D87+D98+D180+D190+D201+D215+D286+D299+D329+D420+D380+D433+D40+D16+D30+D62+D76+D49+D111+D130+D144+D159+D169+D229+D239+D252+D265+D277+D307+D316+D336+D346+D356+D372+D392+D407+D445</f>
        <v>59831.18479999998</v>
      </c>
      <c r="E447" s="128">
        <f>E122+E87+E98+E180+E190+E201+E215+E286+E299+E329+E420+E380+E433+E40+E16+E30+E62+E76+E49+E111+E130+E144+E159+E169+E229+E239+E252+E265+E277+E307+E316+E336+E346+E356+E372+E392+E407+E445</f>
        <v>183687.87499999997</v>
      </c>
      <c r="F447" s="128">
        <f>F122+F87+F98+F180+F190+F201+F215+F286+F299+F329+F420+F380+F433+F40+F16+F30+F62+F76+F49+F111+F130+F144+F159+F169+F229+F239+F252+F265+F277+F307+F316+F336+F346+F356+F372+F392+F407+F445</f>
        <v>247718.04200000007</v>
      </c>
      <c r="G447" s="128">
        <f>G122+G87+G98+G180+G190+G201+G215+G286+G299+G329+G420+G380+G433+G40+G16+G30+G62+G76+G49+G111+G130+G144+G159+G169+G229+G239+G252+G265+G277+G307+G316+G336+G346+G356+G372+G392+G407+G445</f>
        <v>3525510.053</v>
      </c>
      <c r="H447" s="129">
        <f>SUM(H16+H30+H40+H62+H76+H49+H87+H98+H111+H122+H130+H144+H159+H169+H180+H190+H201+H215+H229+H239+H252+H265+H277+H286+H299+H307+H316+H329+H336+H346+H356+H372+H392+H380+H407+H420+H433+H445)</f>
        <v>259968</v>
      </c>
    </row>
    <row r="449" spans="2:8" ht="15.75">
      <c r="B449" s="130" t="s">
        <v>56</v>
      </c>
      <c r="C449" s="23">
        <v>8821</v>
      </c>
      <c r="D449" s="24">
        <v>59831.1878</v>
      </c>
      <c r="E449" s="25">
        <v>183445.61199999996</v>
      </c>
      <c r="F449" s="25">
        <v>247613.39200000005</v>
      </c>
      <c r="G449" s="25">
        <v>3525510.053</v>
      </c>
      <c r="H449" s="23">
        <v>259968</v>
      </c>
    </row>
    <row r="450" spans="5:8" ht="15.75">
      <c r="E450" s="25">
        <f>+E449-E447</f>
        <v>-242.2630000000063</v>
      </c>
      <c r="F450" s="25">
        <f>+F449-F447</f>
        <v>-104.65000000002328</v>
      </c>
      <c r="G450" s="25">
        <f>+G449-G447</f>
        <v>0</v>
      </c>
      <c r="H450" s="25">
        <f>+H449-H447</f>
        <v>0</v>
      </c>
    </row>
    <row r="458" spans="1:8" ht="15.75">
      <c r="A458" s="30"/>
      <c r="B458" s="31"/>
      <c r="C458" s="32"/>
      <c r="D458" s="33" t="s">
        <v>173</v>
      </c>
      <c r="E458" s="34"/>
      <c r="F458" s="34"/>
      <c r="G458" s="34"/>
      <c r="H458" s="32"/>
    </row>
    <row r="459" spans="1:7" ht="15.75">
      <c r="A459" s="156" t="s">
        <v>61</v>
      </c>
      <c r="B459" s="38" t="s">
        <v>62</v>
      </c>
      <c r="C459" s="38" t="s">
        <v>5</v>
      </c>
      <c r="D459" s="39" t="s">
        <v>6</v>
      </c>
      <c r="E459" s="40" t="s">
        <v>7</v>
      </c>
      <c r="G459" s="41" t="s">
        <v>8</v>
      </c>
    </row>
    <row r="460" spans="1:7" ht="15.75">
      <c r="A460" s="87"/>
      <c r="B460" s="43"/>
      <c r="C460" s="44"/>
      <c r="D460" s="45" t="s">
        <v>11</v>
      </c>
      <c r="E460" s="46" t="s">
        <v>64</v>
      </c>
      <c r="G460" s="46" t="s">
        <v>65</v>
      </c>
    </row>
    <row r="461" spans="1:7" ht="15.75">
      <c r="A461" s="73">
        <v>1</v>
      </c>
      <c r="B461" s="43" t="s">
        <v>185</v>
      </c>
      <c r="C461" s="43">
        <v>0</v>
      </c>
      <c r="D461" s="180">
        <v>0</v>
      </c>
      <c r="E461" s="181">
        <v>65</v>
      </c>
      <c r="G461" s="181">
        <v>650</v>
      </c>
    </row>
    <row r="462" spans="1:7" ht="15.75">
      <c r="A462" s="21">
        <f>+A461+1</f>
        <v>2</v>
      </c>
      <c r="B462" s="43" t="s">
        <v>188</v>
      </c>
      <c r="C462" s="43">
        <v>2</v>
      </c>
      <c r="D462" s="180">
        <v>2</v>
      </c>
      <c r="E462" s="181">
        <v>0.68</v>
      </c>
      <c r="G462" s="181">
        <v>3.4</v>
      </c>
    </row>
    <row r="463" spans="1:7" ht="15.75">
      <c r="A463" s="21">
        <f>+A462+1</f>
        <v>3</v>
      </c>
      <c r="B463" s="43" t="s">
        <v>189</v>
      </c>
      <c r="C463" s="43">
        <v>0</v>
      </c>
      <c r="D463" s="180">
        <v>0</v>
      </c>
      <c r="E463" s="181">
        <v>14352.875</v>
      </c>
      <c r="G463" s="181"/>
    </row>
    <row r="464" spans="1:7" ht="15.75">
      <c r="A464" s="21">
        <f>+A463+1</f>
        <v>4</v>
      </c>
      <c r="B464" s="43" t="s">
        <v>190</v>
      </c>
      <c r="C464" s="43">
        <v>1</v>
      </c>
      <c r="D464" s="180">
        <v>1</v>
      </c>
      <c r="E464" s="181">
        <v>0.625</v>
      </c>
      <c r="G464" s="181">
        <v>0.937</v>
      </c>
    </row>
    <row r="465" spans="1:7" ht="15.75">
      <c r="A465" s="21">
        <f>+A464+1</f>
        <v>5</v>
      </c>
      <c r="B465" s="43" t="s">
        <v>193</v>
      </c>
      <c r="C465" s="43">
        <v>128</v>
      </c>
      <c r="D465" s="180">
        <v>151.07</v>
      </c>
      <c r="E465" s="181">
        <f>644.625</f>
        <v>644.625</v>
      </c>
      <c r="F465" s="25">
        <v>436.925</v>
      </c>
      <c r="G465" s="181">
        <v>322.312</v>
      </c>
    </row>
    <row r="466" spans="1:7" ht="15.75">
      <c r="A466" s="21">
        <f>+A465+1</f>
        <v>6</v>
      </c>
      <c r="B466" s="43" t="s">
        <v>196</v>
      </c>
      <c r="C466" s="43">
        <v>50</v>
      </c>
      <c r="D466" s="180">
        <v>56</v>
      </c>
      <c r="E466" s="181">
        <f>262.224+2.913</f>
        <v>265.137</v>
      </c>
      <c r="F466" s="25">
        <f>+E466-2.913</f>
        <v>262.224</v>
      </c>
      <c r="G466" s="181">
        <v>58.272</v>
      </c>
    </row>
    <row r="467" spans="1:7" ht="15.75">
      <c r="A467" s="1">
        <v>7</v>
      </c>
      <c r="B467" s="43" t="s">
        <v>203</v>
      </c>
      <c r="C467" s="43">
        <v>3</v>
      </c>
      <c r="D467" s="180">
        <v>2.65</v>
      </c>
      <c r="E467" s="181">
        <v>0.805</v>
      </c>
      <c r="G467" s="181">
        <v>1.61</v>
      </c>
    </row>
    <row r="468" spans="1:7" ht="15.75">
      <c r="A468" s="196">
        <v>8</v>
      </c>
      <c r="B468" s="43" t="s">
        <v>223</v>
      </c>
      <c r="C468" s="43">
        <v>0</v>
      </c>
      <c r="D468" s="180">
        <v>0</v>
      </c>
      <c r="E468" s="181">
        <v>0</v>
      </c>
      <c r="G468" s="181">
        <v>0</v>
      </c>
    </row>
    <row r="469" spans="1:7" ht="15.75">
      <c r="A469" s="59"/>
      <c r="B469" s="65" t="s">
        <v>80</v>
      </c>
      <c r="C469" s="210">
        <f>SUM(C461:C468)</f>
        <v>184</v>
      </c>
      <c r="D469" s="210">
        <f>SUM(D461:D468)</f>
        <v>212.72</v>
      </c>
      <c r="E469" s="210">
        <f>SUM(E461:E468)</f>
        <v>15329.747000000001</v>
      </c>
      <c r="G469" s="210">
        <f>SUM(G461:G468)</f>
        <v>1036.531</v>
      </c>
    </row>
    <row r="470" ht="15.75">
      <c r="E470" s="25">
        <f>15271.247-E469</f>
        <v>-58.50000000000182</v>
      </c>
    </row>
    <row r="471" spans="1:7" ht="15.75">
      <c r="A471" s="30"/>
      <c r="B471" s="31"/>
      <c r="C471" s="32"/>
      <c r="D471" s="33" t="s">
        <v>167</v>
      </c>
      <c r="E471" s="34"/>
      <c r="G471" s="34"/>
    </row>
    <row r="472" spans="1:7" ht="15.75">
      <c r="A472" s="156" t="s">
        <v>61</v>
      </c>
      <c r="B472" s="38" t="s">
        <v>62</v>
      </c>
      <c r="C472" s="38" t="s">
        <v>5</v>
      </c>
      <c r="D472" s="39" t="s">
        <v>6</v>
      </c>
      <c r="E472" s="40" t="s">
        <v>7</v>
      </c>
      <c r="G472" s="41" t="s">
        <v>8</v>
      </c>
    </row>
    <row r="473" spans="1:7" ht="15.75">
      <c r="A473" s="87"/>
      <c r="B473" s="43"/>
      <c r="C473" s="44"/>
      <c r="D473" s="45" t="s">
        <v>11</v>
      </c>
      <c r="E473" s="46" t="s">
        <v>64</v>
      </c>
      <c r="G473" s="46" t="s">
        <v>65</v>
      </c>
    </row>
    <row r="474" spans="1:7" ht="15.75">
      <c r="A474" s="73">
        <v>1</v>
      </c>
      <c r="B474" s="43" t="s">
        <v>185</v>
      </c>
      <c r="C474" s="43">
        <v>0</v>
      </c>
      <c r="D474" s="180">
        <v>0</v>
      </c>
      <c r="E474" s="181">
        <v>44.405</v>
      </c>
      <c r="G474" s="181">
        <v>31.083</v>
      </c>
    </row>
    <row r="475" spans="1:7" ht="15.75">
      <c r="A475" s="21">
        <v>2</v>
      </c>
      <c r="B475" s="43" t="s">
        <v>189</v>
      </c>
      <c r="C475" s="43">
        <v>0</v>
      </c>
      <c r="D475" s="180">
        <v>0</v>
      </c>
      <c r="E475" s="181">
        <v>44.405</v>
      </c>
      <c r="G475" s="181">
        <v>31.083</v>
      </c>
    </row>
    <row r="476" spans="1:7" ht="15.75">
      <c r="A476" s="21">
        <f>+A475+1</f>
        <v>3</v>
      </c>
      <c r="B476" s="43" t="s">
        <v>193</v>
      </c>
      <c r="C476" s="43">
        <v>102</v>
      </c>
      <c r="D476" s="180">
        <v>202.35</v>
      </c>
      <c r="E476" s="181">
        <f>194.14+220.357</f>
        <v>414.49699999999996</v>
      </c>
      <c r="G476" s="181">
        <f>135.898+90.488</f>
        <v>226.386</v>
      </c>
    </row>
    <row r="477" spans="1:7" ht="15.75">
      <c r="A477" s="21">
        <f>+A476+1</f>
        <v>4</v>
      </c>
      <c r="B477" s="43" t="s">
        <v>194</v>
      </c>
      <c r="C477" s="43">
        <v>5</v>
      </c>
      <c r="D477" s="180">
        <v>106.69</v>
      </c>
      <c r="E477" s="181">
        <v>1.667</v>
      </c>
      <c r="G477" s="181">
        <v>4.695</v>
      </c>
    </row>
    <row r="478" spans="1:7" ht="15.75">
      <c r="A478" s="21">
        <f>+A477+1</f>
        <v>5</v>
      </c>
      <c r="B478" s="43" t="s">
        <v>200</v>
      </c>
      <c r="C478" s="43">
        <v>175</v>
      </c>
      <c r="D478" s="180">
        <v>12262.581</v>
      </c>
      <c r="E478" s="181">
        <v>353.022</v>
      </c>
      <c r="G478" s="181">
        <v>988.462</v>
      </c>
    </row>
    <row r="479" spans="1:7" ht="15.75">
      <c r="A479" s="21">
        <f>+A478+1</f>
        <v>6</v>
      </c>
      <c r="B479" s="43" t="s">
        <v>222</v>
      </c>
      <c r="C479" s="43">
        <v>0</v>
      </c>
      <c r="D479" s="180">
        <v>0</v>
      </c>
      <c r="E479" s="181">
        <f>263.204</f>
        <v>263.204</v>
      </c>
      <c r="G479" s="181">
        <f>184.24</f>
        <v>184.24</v>
      </c>
    </row>
    <row r="480" spans="1:7" ht="15.75">
      <c r="A480" s="21">
        <v>7</v>
      </c>
      <c r="B480" s="43" t="s">
        <v>79</v>
      </c>
      <c r="C480" s="43">
        <v>0</v>
      </c>
      <c r="D480" s="180">
        <v>0</v>
      </c>
      <c r="E480" s="181">
        <v>0</v>
      </c>
      <c r="G480" s="181">
        <v>0</v>
      </c>
    </row>
    <row r="481" spans="1:7" ht="15.75">
      <c r="A481" s="59"/>
      <c r="B481" s="65" t="s">
        <v>80</v>
      </c>
      <c r="C481" s="210">
        <f>SUM(C474:C480)</f>
        <v>282</v>
      </c>
      <c r="D481" s="210">
        <f>SUM(D474:D480)</f>
        <v>12571.621</v>
      </c>
      <c r="E481" s="210">
        <f>SUM(E474:E480)</f>
        <v>1121.1999999999998</v>
      </c>
      <c r="G481" s="210">
        <f>SUM(G474:G480)</f>
        <v>1465.949</v>
      </c>
    </row>
  </sheetData>
  <mergeCells count="1">
    <mergeCell ref="A1:H1"/>
  </mergeCells>
  <printOptions/>
  <pageMargins left="0.75" right="0.44" top="0.57" bottom="0.69" header="0.5" footer="0.5"/>
  <pageSetup horizontalDpi="120" verticalDpi="120" orientation="portrait" paperSize="9" scale="87" r:id="rId1"/>
  <headerFooter alignWithMargins="0">
    <oddHeader>&amp;COFFICEWISE MINOR MINERAL STATISTICS YEAR 2006-07</oddHeader>
    <oddFooter>&amp;L&amp;Z&amp;F&amp;R&amp;P of &amp;N</oddFooter>
  </headerFooter>
  <rowBreaks count="8" manualBreakCount="8">
    <brk id="50" max="7" man="1"/>
    <brk id="99" max="7" man="1"/>
    <brk id="145" max="7" man="1"/>
    <brk id="191" max="7" man="1"/>
    <brk id="240" max="7" man="1"/>
    <brk id="287" max="7" man="1"/>
    <brk id="381" max="7" man="1"/>
    <brk id="42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98"/>
  <sheetViews>
    <sheetView zoomScale="85" zoomScaleNormal="85" zoomScaleSheetLayoutView="100" workbookViewId="0" topLeftCell="A367">
      <selection activeCell="M379" sqref="M379"/>
    </sheetView>
  </sheetViews>
  <sheetFormatPr defaultColWidth="9.140625" defaultRowHeight="12.75"/>
  <cols>
    <col min="1" max="1" width="5.8515625" style="1" customWidth="1"/>
    <col min="2" max="2" width="21.7109375" style="130" customWidth="1"/>
    <col min="3" max="3" width="8.8515625" style="23" customWidth="1"/>
    <col min="4" max="4" width="11.28125" style="24" customWidth="1"/>
    <col min="5" max="6" width="14.00390625" style="25" customWidth="1"/>
    <col min="7" max="7" width="15.7109375" style="25" customWidth="1"/>
    <col min="8" max="8" width="9.421875" style="23" customWidth="1"/>
    <col min="9" max="16384" width="9.140625" style="1" customWidth="1"/>
  </cols>
  <sheetData>
    <row r="1" spans="1:8" ht="27.75">
      <c r="A1" s="228" t="s">
        <v>59</v>
      </c>
      <c r="B1" s="228"/>
      <c r="C1" s="228"/>
      <c r="D1" s="228"/>
      <c r="E1" s="228"/>
      <c r="F1" s="228"/>
      <c r="G1" s="228"/>
      <c r="H1" s="228"/>
    </row>
    <row r="2" spans="1:8" ht="21">
      <c r="A2" s="155"/>
      <c r="B2" s="155"/>
      <c r="C2" s="155"/>
      <c r="D2" s="155"/>
      <c r="E2" s="155"/>
      <c r="F2" s="155"/>
      <c r="G2" s="155"/>
      <c r="H2" s="155"/>
    </row>
    <row r="3" spans="1:8" ht="15.75">
      <c r="A3" s="75"/>
      <c r="B3" s="89"/>
      <c r="C3" s="90"/>
      <c r="D3" s="206" t="s">
        <v>228</v>
      </c>
      <c r="E3" s="92"/>
      <c r="F3" s="92"/>
      <c r="G3" s="92"/>
      <c r="H3" s="90"/>
    </row>
    <row r="4" spans="1:8" s="89" customFormat="1" ht="31.5">
      <c r="A4" s="43" t="s">
        <v>3</v>
      </c>
      <c r="B4" s="43" t="s">
        <v>62</v>
      </c>
      <c r="C4" s="43" t="s">
        <v>5</v>
      </c>
      <c r="D4" s="43" t="s">
        <v>6</v>
      </c>
      <c r="E4" s="43" t="s">
        <v>7</v>
      </c>
      <c r="F4" s="43" t="s">
        <v>8</v>
      </c>
      <c r="G4" s="43" t="s">
        <v>9</v>
      </c>
      <c r="H4" s="224" t="s">
        <v>63</v>
      </c>
    </row>
    <row r="5" spans="1:8" s="89" customFormat="1" ht="15.75">
      <c r="A5" s="43"/>
      <c r="B5" s="43"/>
      <c r="C5" s="43"/>
      <c r="D5" s="43" t="s">
        <v>11</v>
      </c>
      <c r="E5" s="43" t="s">
        <v>64</v>
      </c>
      <c r="F5" s="43" t="s">
        <v>65</v>
      </c>
      <c r="G5" s="43" t="s">
        <v>66</v>
      </c>
      <c r="H5" s="43" t="s">
        <v>15</v>
      </c>
    </row>
    <row r="6" spans="1:8" s="89" customFormat="1" ht="15.75">
      <c r="A6" s="43">
        <v>1</v>
      </c>
      <c r="B6" s="43" t="s">
        <v>185</v>
      </c>
      <c r="C6" s="43">
        <v>0</v>
      </c>
      <c r="D6" s="43">
        <v>0</v>
      </c>
      <c r="E6" s="181">
        <v>191.875</v>
      </c>
      <c r="F6" s="181">
        <v>1439.062</v>
      </c>
      <c r="G6" s="181">
        <v>1420.981</v>
      </c>
      <c r="H6" s="43">
        <v>485</v>
      </c>
    </row>
    <row r="7" spans="1:8" s="89" customFormat="1" ht="15.75">
      <c r="A7" s="43">
        <f aca="true" t="shared" si="0" ref="A7:A13">+A6+1</f>
        <v>2</v>
      </c>
      <c r="B7" s="43" t="s">
        <v>188</v>
      </c>
      <c r="C7" s="43">
        <v>13</v>
      </c>
      <c r="D7" s="43">
        <v>21.06</v>
      </c>
      <c r="E7" s="181">
        <v>7.489</v>
      </c>
      <c r="F7" s="181">
        <v>101.1</v>
      </c>
      <c r="G7" s="181">
        <v>893.159</v>
      </c>
      <c r="H7" s="43">
        <v>53</v>
      </c>
    </row>
    <row r="8" spans="1:8" s="89" customFormat="1" ht="15.75">
      <c r="A8" s="43">
        <f t="shared" si="0"/>
        <v>3</v>
      </c>
      <c r="B8" s="43" t="s">
        <v>189</v>
      </c>
      <c r="C8" s="43">
        <v>0</v>
      </c>
      <c r="D8" s="43">
        <v>0</v>
      </c>
      <c r="E8" s="181">
        <v>4362.045</v>
      </c>
      <c r="F8" s="181">
        <v>2181.022</v>
      </c>
      <c r="G8" s="181">
        <v>17332.141</v>
      </c>
      <c r="H8" s="43">
        <v>3120</v>
      </c>
    </row>
    <row r="9" spans="1:8" s="89" customFormat="1" ht="15.75">
      <c r="A9" s="43">
        <f t="shared" si="0"/>
        <v>4</v>
      </c>
      <c r="B9" s="43" t="s">
        <v>190</v>
      </c>
      <c r="C9" s="43">
        <v>1</v>
      </c>
      <c r="D9" s="43">
        <v>1.5</v>
      </c>
      <c r="E9" s="181">
        <v>0</v>
      </c>
      <c r="F9" s="181">
        <v>0</v>
      </c>
      <c r="G9" s="181">
        <v>125.943</v>
      </c>
      <c r="H9" s="43">
        <v>0</v>
      </c>
    </row>
    <row r="10" spans="1:8" s="89" customFormat="1" ht="15.75">
      <c r="A10" s="43">
        <f t="shared" si="0"/>
        <v>5</v>
      </c>
      <c r="B10" s="43" t="s">
        <v>192</v>
      </c>
      <c r="C10" s="43">
        <v>90</v>
      </c>
      <c r="D10" s="43">
        <v>112.35</v>
      </c>
      <c r="E10" s="181">
        <v>456.571</v>
      </c>
      <c r="F10" s="181">
        <v>4109.14</v>
      </c>
      <c r="G10" s="181">
        <v>68498.674</v>
      </c>
      <c r="H10" s="43">
        <v>1890</v>
      </c>
    </row>
    <row r="11" spans="1:8" s="89" customFormat="1" ht="15.75">
      <c r="A11" s="43">
        <f t="shared" si="0"/>
        <v>6</v>
      </c>
      <c r="B11" s="43" t="s">
        <v>193</v>
      </c>
      <c r="C11" s="43">
        <v>92</v>
      </c>
      <c r="D11" s="43">
        <v>93.05</v>
      </c>
      <c r="E11" s="181">
        <v>2720.095</v>
      </c>
      <c r="F11" s="181">
        <v>2992.1</v>
      </c>
      <c r="G11" s="181">
        <v>12144.334</v>
      </c>
      <c r="H11" s="43">
        <v>4325</v>
      </c>
    </row>
    <row r="12" spans="1:8" s="89" customFormat="1" ht="15.75">
      <c r="A12" s="43">
        <f t="shared" si="0"/>
        <v>7</v>
      </c>
      <c r="B12" s="43" t="s">
        <v>196</v>
      </c>
      <c r="C12" s="43">
        <v>1</v>
      </c>
      <c r="D12" s="43">
        <v>2.25</v>
      </c>
      <c r="E12" s="181">
        <v>0</v>
      </c>
      <c r="F12" s="181">
        <v>0</v>
      </c>
      <c r="G12" s="181">
        <v>22.944</v>
      </c>
      <c r="H12" s="43">
        <v>0</v>
      </c>
    </row>
    <row r="13" spans="1:8" s="89" customFormat="1" ht="15.75">
      <c r="A13" s="43">
        <f t="shared" si="0"/>
        <v>8</v>
      </c>
      <c r="B13" s="43" t="s">
        <v>197</v>
      </c>
      <c r="C13" s="43">
        <v>1</v>
      </c>
      <c r="D13" s="43">
        <v>1</v>
      </c>
      <c r="E13" s="181">
        <v>0.45</v>
      </c>
      <c r="F13" s="181">
        <v>1.35</v>
      </c>
      <c r="G13" s="181">
        <v>50.06</v>
      </c>
      <c r="H13" s="43">
        <v>5</v>
      </c>
    </row>
    <row r="14" spans="1:8" s="89" customFormat="1" ht="15.75">
      <c r="A14" s="43">
        <v>9</v>
      </c>
      <c r="B14" s="43" t="s">
        <v>79</v>
      </c>
      <c r="C14" s="43">
        <v>0</v>
      </c>
      <c r="D14" s="43">
        <v>0</v>
      </c>
      <c r="E14" s="181">
        <v>0</v>
      </c>
      <c r="F14" s="181">
        <v>0</v>
      </c>
      <c r="G14" s="181">
        <v>256</v>
      </c>
      <c r="H14" s="43">
        <v>0</v>
      </c>
    </row>
    <row r="15" spans="1:8" s="89" customFormat="1" ht="15.75">
      <c r="A15" s="196">
        <v>10</v>
      </c>
      <c r="B15" s="225" t="s">
        <v>229</v>
      </c>
      <c r="C15" s="43">
        <v>0</v>
      </c>
      <c r="D15" s="43">
        <v>0</v>
      </c>
      <c r="E15" s="181">
        <v>0</v>
      </c>
      <c r="F15" s="181">
        <v>0</v>
      </c>
      <c r="G15" s="181">
        <v>6307.79</v>
      </c>
      <c r="H15" s="43">
        <v>0</v>
      </c>
    </row>
    <row r="16" spans="1:8" s="89" customFormat="1" ht="15.75">
      <c r="A16" s="43"/>
      <c r="B16" s="43" t="s">
        <v>80</v>
      </c>
      <c r="C16" s="74">
        <f aca="true" t="shared" si="1" ref="C16:H16">SUM(C6:C15)</f>
        <v>198</v>
      </c>
      <c r="D16" s="74">
        <f t="shared" si="1"/>
        <v>231.20999999999998</v>
      </c>
      <c r="E16" s="74">
        <f t="shared" si="1"/>
        <v>7738.524999999999</v>
      </c>
      <c r="F16" s="74">
        <f t="shared" si="1"/>
        <v>10823.774000000001</v>
      </c>
      <c r="G16" s="74">
        <f t="shared" si="1"/>
        <v>107052.026</v>
      </c>
      <c r="H16" s="74">
        <f t="shared" si="1"/>
        <v>9878</v>
      </c>
    </row>
    <row r="17" s="89" customFormat="1" ht="15.75"/>
    <row r="18" spans="1:8" ht="21">
      <c r="A18" s="201" t="s">
        <v>230</v>
      </c>
      <c r="B18" s="89"/>
      <c r="C18" s="90"/>
      <c r="D18" s="91"/>
      <c r="E18" s="92"/>
      <c r="F18" s="92"/>
      <c r="G18" s="92"/>
      <c r="H18" s="90"/>
    </row>
    <row r="19" spans="1:8" ht="15.75">
      <c r="A19" s="30"/>
      <c r="B19" s="31"/>
      <c r="C19" s="32"/>
      <c r="D19" s="33" t="s">
        <v>81</v>
      </c>
      <c r="E19" s="34"/>
      <c r="F19" s="34"/>
      <c r="G19" s="34"/>
      <c r="H19" s="32"/>
    </row>
    <row r="20" spans="1:8" ht="31.5">
      <c r="A20" s="36" t="s">
        <v>3</v>
      </c>
      <c r="B20" s="38" t="s">
        <v>62</v>
      </c>
      <c r="C20" s="43" t="s">
        <v>5</v>
      </c>
      <c r="D20" s="39" t="s">
        <v>6</v>
      </c>
      <c r="E20" s="40" t="s">
        <v>7</v>
      </c>
      <c r="F20" s="41" t="s">
        <v>8</v>
      </c>
      <c r="G20" s="41" t="s">
        <v>9</v>
      </c>
      <c r="H20" s="38" t="s">
        <v>63</v>
      </c>
    </row>
    <row r="21" spans="1:8" ht="15.75">
      <c r="A21" s="21"/>
      <c r="B21" s="43"/>
      <c r="C21" s="44"/>
      <c r="D21" s="45" t="s">
        <v>11</v>
      </c>
      <c r="E21" s="46" t="s">
        <v>64</v>
      </c>
      <c r="F21" s="46" t="s">
        <v>65</v>
      </c>
      <c r="G21" s="46" t="s">
        <v>66</v>
      </c>
      <c r="H21" s="157" t="s">
        <v>15</v>
      </c>
    </row>
    <row r="22" spans="1:8" ht="15.75">
      <c r="A22" s="21">
        <v>1</v>
      </c>
      <c r="B22" s="43" t="s">
        <v>185</v>
      </c>
      <c r="C22" s="43">
        <v>0</v>
      </c>
      <c r="D22" s="43">
        <v>0</v>
      </c>
      <c r="E22" s="181">
        <f>1226+64.975</f>
        <v>1290.975</v>
      </c>
      <c r="F22" s="181">
        <f>7356+51.98</f>
        <v>7407.98</v>
      </c>
      <c r="G22" s="181">
        <f>9820.54+5198</f>
        <v>15018.54</v>
      </c>
      <c r="H22" s="43">
        <v>7800</v>
      </c>
    </row>
    <row r="23" spans="1:8" ht="15.75">
      <c r="A23" s="21">
        <v>2</v>
      </c>
      <c r="B23" s="43" t="s">
        <v>186</v>
      </c>
      <c r="C23" s="43">
        <v>3</v>
      </c>
      <c r="D23" s="43">
        <v>4</v>
      </c>
      <c r="E23" s="181">
        <v>0.152</v>
      </c>
      <c r="F23" s="181">
        <v>0.76</v>
      </c>
      <c r="G23" s="181">
        <v>94.432</v>
      </c>
      <c r="H23" s="43">
        <v>3</v>
      </c>
    </row>
    <row r="24" spans="1:8" ht="15.75">
      <c r="A24" s="21">
        <f aca="true" t="shared" si="2" ref="A24:A29">+A23+1</f>
        <v>3</v>
      </c>
      <c r="B24" s="43" t="s">
        <v>188</v>
      </c>
      <c r="C24" s="43">
        <v>1</v>
      </c>
      <c r="D24" s="43">
        <v>4</v>
      </c>
      <c r="E24" s="181">
        <v>0.167</v>
      </c>
      <c r="F24" s="181">
        <v>1.67</v>
      </c>
      <c r="G24" s="181">
        <v>95.522</v>
      </c>
      <c r="H24" s="43">
        <v>1</v>
      </c>
    </row>
    <row r="25" spans="1:8" ht="15.75">
      <c r="A25" s="21">
        <f t="shared" si="2"/>
        <v>4</v>
      </c>
      <c r="B25" s="43" t="s">
        <v>189</v>
      </c>
      <c r="C25" s="43">
        <v>0</v>
      </c>
      <c r="D25" s="43">
        <v>0</v>
      </c>
      <c r="E25" s="181">
        <v>909</v>
      </c>
      <c r="F25" s="181">
        <v>2272.5</v>
      </c>
      <c r="G25" s="181">
        <v>5011.624</v>
      </c>
      <c r="H25" s="43">
        <v>250</v>
      </c>
    </row>
    <row r="26" spans="1:8" ht="15.75">
      <c r="A26" s="21">
        <f t="shared" si="2"/>
        <v>5</v>
      </c>
      <c r="B26" s="43" t="s">
        <v>190</v>
      </c>
      <c r="C26" s="43">
        <v>2</v>
      </c>
      <c r="D26" s="43">
        <v>8.98</v>
      </c>
      <c r="E26" s="181">
        <v>4.2</v>
      </c>
      <c r="F26" s="181">
        <v>21</v>
      </c>
      <c r="G26" s="181">
        <v>436.41</v>
      </c>
      <c r="H26" s="43">
        <v>4</v>
      </c>
    </row>
    <row r="27" spans="1:8" ht="15.75">
      <c r="A27" s="21">
        <f t="shared" si="2"/>
        <v>6</v>
      </c>
      <c r="B27" s="43" t="s">
        <v>192</v>
      </c>
      <c r="C27" s="43">
        <v>103</v>
      </c>
      <c r="D27" s="43">
        <v>136.13</v>
      </c>
      <c r="E27" s="181">
        <v>1094</v>
      </c>
      <c r="F27" s="181">
        <v>4376</v>
      </c>
      <c r="G27" s="181">
        <v>75756.333</v>
      </c>
      <c r="H27" s="43">
        <v>300</v>
      </c>
    </row>
    <row r="28" spans="1:8" ht="15.75">
      <c r="A28" s="21">
        <f t="shared" si="2"/>
        <v>7</v>
      </c>
      <c r="B28" s="43" t="s">
        <v>193</v>
      </c>
      <c r="C28" s="43">
        <f>66+6</f>
        <v>72</v>
      </c>
      <c r="D28" s="43">
        <f>62.19+458.25</f>
        <v>520.44</v>
      </c>
      <c r="E28" s="181">
        <f>775+26.974</f>
        <v>801.974</v>
      </c>
      <c r="F28" s="181">
        <f>891.25+21.579+0.144</f>
        <v>912.973</v>
      </c>
      <c r="G28" s="181">
        <f>16953.139+1307</f>
        <v>18260.139</v>
      </c>
      <c r="H28" s="43">
        <f>225+120</f>
        <v>345</v>
      </c>
    </row>
    <row r="29" spans="1:8" ht="15.75">
      <c r="A29" s="21">
        <f t="shared" si="2"/>
        <v>8</v>
      </c>
      <c r="B29" s="43" t="s">
        <v>196</v>
      </c>
      <c r="C29" s="43">
        <v>1</v>
      </c>
      <c r="D29" s="43">
        <v>13.37</v>
      </c>
      <c r="E29" s="181">
        <v>0.44</v>
      </c>
      <c r="F29" s="181">
        <v>0.88</v>
      </c>
      <c r="G29" s="181">
        <v>39.454</v>
      </c>
      <c r="H29" s="43">
        <v>2</v>
      </c>
    </row>
    <row r="30" spans="1:8" ht="15.75">
      <c r="A30" s="21">
        <v>9</v>
      </c>
      <c r="B30" s="43" t="s">
        <v>203</v>
      </c>
      <c r="C30" s="43">
        <v>24</v>
      </c>
      <c r="D30" s="43">
        <v>41.75</v>
      </c>
      <c r="E30" s="181">
        <v>1.536</v>
      </c>
      <c r="F30" s="181">
        <v>2.457</v>
      </c>
      <c r="G30" s="181">
        <v>786</v>
      </c>
      <c r="H30" s="43">
        <v>182</v>
      </c>
    </row>
    <row r="31" spans="1:8" ht="15.75">
      <c r="A31" s="196">
        <v>10</v>
      </c>
      <c r="B31" s="225" t="s">
        <v>229</v>
      </c>
      <c r="C31" s="43">
        <v>0</v>
      </c>
      <c r="D31" s="43">
        <v>0</v>
      </c>
      <c r="E31" s="181">
        <v>0</v>
      </c>
      <c r="F31" s="181">
        <v>0</v>
      </c>
      <c r="G31" s="181">
        <v>18181.728</v>
      </c>
      <c r="H31" s="43">
        <v>0</v>
      </c>
    </row>
    <row r="32" spans="1:8" ht="15.75">
      <c r="A32" s="21"/>
      <c r="B32" s="74" t="s">
        <v>80</v>
      </c>
      <c r="C32" s="13">
        <f aca="true" t="shared" si="3" ref="C32:H32">SUM(C22:C31)</f>
        <v>206</v>
      </c>
      <c r="D32" s="13">
        <f t="shared" si="3"/>
        <v>728.6700000000001</v>
      </c>
      <c r="E32" s="13">
        <f t="shared" si="3"/>
        <v>4102.4439999999995</v>
      </c>
      <c r="F32" s="13">
        <f t="shared" si="3"/>
        <v>14996.22</v>
      </c>
      <c r="G32" s="13">
        <f t="shared" si="3"/>
        <v>133680.182</v>
      </c>
      <c r="H32" s="13">
        <f t="shared" si="3"/>
        <v>8887</v>
      </c>
    </row>
    <row r="33" spans="1:8" ht="15.75">
      <c r="A33" s="67"/>
      <c r="B33" s="68"/>
      <c r="C33" s="69"/>
      <c r="D33" s="70"/>
      <c r="E33" s="71"/>
      <c r="F33" s="71"/>
      <c r="G33" s="71"/>
      <c r="H33" s="69"/>
    </row>
    <row r="34" spans="1:8" ht="15.75">
      <c r="A34" s="30"/>
      <c r="B34" s="31"/>
      <c r="C34" s="32"/>
      <c r="D34" s="33" t="s">
        <v>88</v>
      </c>
      <c r="E34" s="34"/>
      <c r="F34" s="34"/>
      <c r="G34" s="34"/>
      <c r="H34" s="32"/>
    </row>
    <row r="35" spans="1:8" ht="31.5">
      <c r="A35" s="36" t="s">
        <v>3</v>
      </c>
      <c r="B35" s="38" t="s">
        <v>62</v>
      </c>
      <c r="C35" s="38" t="s">
        <v>5</v>
      </c>
      <c r="D35" s="39" t="s">
        <v>6</v>
      </c>
      <c r="E35" s="40" t="s">
        <v>7</v>
      </c>
      <c r="F35" s="41" t="s">
        <v>8</v>
      </c>
      <c r="G35" s="41" t="s">
        <v>9</v>
      </c>
      <c r="H35" s="38" t="s">
        <v>63</v>
      </c>
    </row>
    <row r="36" spans="1:8" ht="15.75">
      <c r="A36" s="21"/>
      <c r="B36" s="43"/>
      <c r="C36" s="44"/>
      <c r="D36" s="45" t="s">
        <v>11</v>
      </c>
      <c r="E36" s="46" t="s">
        <v>64</v>
      </c>
      <c r="F36" s="46" t="s">
        <v>65</v>
      </c>
      <c r="G36" s="46" t="s">
        <v>66</v>
      </c>
      <c r="H36" s="157" t="s">
        <v>15</v>
      </c>
    </row>
    <row r="37" spans="1:8" s="20" customFormat="1" ht="15.75">
      <c r="A37" s="110">
        <v>1</v>
      </c>
      <c r="B37" s="43" t="s">
        <v>186</v>
      </c>
      <c r="C37" s="43">
        <v>4</v>
      </c>
      <c r="D37" s="43">
        <v>1.96</v>
      </c>
      <c r="E37" s="181">
        <v>0.636</v>
      </c>
      <c r="F37" s="181">
        <v>0.636</v>
      </c>
      <c r="G37" s="181">
        <v>35</v>
      </c>
      <c r="H37" s="43">
        <v>8</v>
      </c>
    </row>
    <row r="38" spans="1:8" s="20" customFormat="1" ht="15.75">
      <c r="A38" s="110">
        <f>+A37+1</f>
        <v>2</v>
      </c>
      <c r="B38" s="43" t="s">
        <v>185</v>
      </c>
      <c r="C38" s="43">
        <v>0</v>
      </c>
      <c r="D38" s="43">
        <v>0</v>
      </c>
      <c r="E38" s="181">
        <v>734</v>
      </c>
      <c r="F38" s="181">
        <v>2202</v>
      </c>
      <c r="G38" s="181">
        <v>5872</v>
      </c>
      <c r="H38" s="43">
        <v>0</v>
      </c>
    </row>
    <row r="39" spans="1:8" s="20" customFormat="1" ht="15.75">
      <c r="A39" s="110">
        <f>+A38+1</f>
        <v>3</v>
      </c>
      <c r="B39" s="43" t="s">
        <v>189</v>
      </c>
      <c r="C39" s="43">
        <v>0</v>
      </c>
      <c r="D39" s="43">
        <v>0</v>
      </c>
      <c r="E39" s="181">
        <v>126.412</v>
      </c>
      <c r="F39" s="181">
        <v>126.412</v>
      </c>
      <c r="G39" s="181">
        <v>1011</v>
      </c>
      <c r="H39" s="43">
        <v>0</v>
      </c>
    </row>
    <row r="40" spans="1:8" s="20" customFormat="1" ht="15.75">
      <c r="A40" s="110">
        <f>+A39+1</f>
        <v>4</v>
      </c>
      <c r="B40" s="43" t="s">
        <v>193</v>
      </c>
      <c r="C40" s="43">
        <v>481</v>
      </c>
      <c r="D40" s="43">
        <v>1448.05</v>
      </c>
      <c r="E40" s="181">
        <v>6403.125</v>
      </c>
      <c r="F40" s="181">
        <v>5122.5</v>
      </c>
      <c r="G40" s="181">
        <v>51225</v>
      </c>
      <c r="H40" s="43">
        <v>35096</v>
      </c>
    </row>
    <row r="41" spans="1:8" s="20" customFormat="1" ht="15.75">
      <c r="A41" s="110">
        <v>5</v>
      </c>
      <c r="B41" s="43" t="s">
        <v>194</v>
      </c>
      <c r="C41" s="43">
        <v>2</v>
      </c>
      <c r="D41" s="43">
        <v>966.84</v>
      </c>
      <c r="E41" s="181">
        <v>3.595</v>
      </c>
      <c r="F41" s="181">
        <v>3.595</v>
      </c>
      <c r="G41" s="181">
        <v>151</v>
      </c>
      <c r="H41" s="43">
        <v>22</v>
      </c>
    </row>
    <row r="42" spans="1:8" s="20" customFormat="1" ht="15.75">
      <c r="A42" s="110">
        <v>6</v>
      </c>
      <c r="B42" s="43" t="s">
        <v>200</v>
      </c>
      <c r="C42" s="43">
        <v>46</v>
      </c>
      <c r="D42" s="43">
        <v>2265.04</v>
      </c>
      <c r="E42" s="181">
        <v>103.786</v>
      </c>
      <c r="F42" s="181">
        <v>207.572</v>
      </c>
      <c r="G42" s="181">
        <v>4359</v>
      </c>
      <c r="H42" s="43">
        <v>2146</v>
      </c>
    </row>
    <row r="43" spans="1:8" ht="15.75">
      <c r="A43" s="21">
        <f>+A42+1</f>
        <v>7</v>
      </c>
      <c r="B43" s="43" t="s">
        <v>195</v>
      </c>
      <c r="C43" s="43">
        <v>0</v>
      </c>
      <c r="D43" s="43">
        <v>0</v>
      </c>
      <c r="E43" s="181">
        <v>436.571</v>
      </c>
      <c r="F43" s="181">
        <v>261.943</v>
      </c>
      <c r="G43" s="181">
        <v>3492</v>
      </c>
      <c r="H43" s="43">
        <v>0</v>
      </c>
    </row>
    <row r="44" spans="1:8" ht="15.75">
      <c r="A44" s="21">
        <v>8</v>
      </c>
      <c r="B44" s="43" t="s">
        <v>79</v>
      </c>
      <c r="C44" s="43">
        <v>0</v>
      </c>
      <c r="D44" s="43">
        <v>0</v>
      </c>
      <c r="E44" s="181">
        <v>0</v>
      </c>
      <c r="F44" s="181">
        <v>0</v>
      </c>
      <c r="G44" s="181">
        <v>4000</v>
      </c>
      <c r="H44" s="43">
        <v>0</v>
      </c>
    </row>
    <row r="45" spans="1:8" ht="15.75">
      <c r="A45" s="21"/>
      <c r="B45" s="74" t="s">
        <v>80</v>
      </c>
      <c r="C45" s="126">
        <f aca="true" t="shared" si="4" ref="C45:H45">SUM(C37:C44)</f>
        <v>533</v>
      </c>
      <c r="D45" s="126">
        <f t="shared" si="4"/>
        <v>4681.889999999999</v>
      </c>
      <c r="E45" s="126">
        <f t="shared" si="4"/>
        <v>7808.125</v>
      </c>
      <c r="F45" s="126">
        <f t="shared" si="4"/>
        <v>7924.658</v>
      </c>
      <c r="G45" s="126">
        <f t="shared" si="4"/>
        <v>70145</v>
      </c>
      <c r="H45" s="126">
        <f t="shared" si="4"/>
        <v>37272</v>
      </c>
    </row>
    <row r="46" spans="1:8" ht="21">
      <c r="A46" s="201" t="s">
        <v>230</v>
      </c>
      <c r="B46" s="89"/>
      <c r="C46" s="90"/>
      <c r="D46" s="91"/>
      <c r="E46" s="92"/>
      <c r="F46" s="92"/>
      <c r="G46" s="92"/>
      <c r="H46" s="90"/>
    </row>
    <row r="47" spans="1:8" ht="15.75">
      <c r="A47" s="30"/>
      <c r="B47" s="31"/>
      <c r="C47" s="32"/>
      <c r="D47" s="33" t="s">
        <v>102</v>
      </c>
      <c r="E47" s="34"/>
      <c r="F47" s="34"/>
      <c r="G47" s="34"/>
      <c r="H47" s="32"/>
    </row>
    <row r="48" spans="1:8" ht="31.5">
      <c r="A48" s="36" t="s">
        <v>3</v>
      </c>
      <c r="B48" s="38" t="s">
        <v>62</v>
      </c>
      <c r="C48" s="38" t="s">
        <v>5</v>
      </c>
      <c r="D48" s="39" t="s">
        <v>6</v>
      </c>
      <c r="E48" s="40" t="s">
        <v>7</v>
      </c>
      <c r="F48" s="41" t="s">
        <v>8</v>
      </c>
      <c r="G48" s="41" t="s">
        <v>9</v>
      </c>
      <c r="H48" s="38" t="s">
        <v>63</v>
      </c>
    </row>
    <row r="49" spans="1:8" ht="15.75">
      <c r="A49" s="21"/>
      <c r="B49" s="43"/>
      <c r="C49" s="44"/>
      <c r="D49" s="45" t="s">
        <v>11</v>
      </c>
      <c r="E49" s="46" t="s">
        <v>64</v>
      </c>
      <c r="F49" s="46" t="s">
        <v>65</v>
      </c>
      <c r="G49" s="46" t="s">
        <v>66</v>
      </c>
      <c r="H49" s="157" t="s">
        <v>15</v>
      </c>
    </row>
    <row r="50" spans="1:8" ht="15.75">
      <c r="A50" s="21">
        <v>1</v>
      </c>
      <c r="B50" s="43" t="s">
        <v>185</v>
      </c>
      <c r="C50" s="43">
        <v>0</v>
      </c>
      <c r="D50" s="43">
        <v>0</v>
      </c>
      <c r="E50" s="181">
        <v>225.6</v>
      </c>
      <c r="F50" s="181">
        <v>90.3</v>
      </c>
      <c r="G50" s="181">
        <v>1492.28</v>
      </c>
      <c r="H50" s="43">
        <v>600</v>
      </c>
    </row>
    <row r="51" spans="1:8" ht="15.75">
      <c r="A51" s="21">
        <f aca="true" t="shared" si="5" ref="A51:A56">+A50+1</f>
        <v>2</v>
      </c>
      <c r="B51" s="43" t="s">
        <v>225</v>
      </c>
      <c r="C51" s="43">
        <v>1</v>
      </c>
      <c r="D51" s="43">
        <v>1</v>
      </c>
      <c r="E51" s="181">
        <v>1.77</v>
      </c>
      <c r="F51" s="181">
        <v>0.354</v>
      </c>
      <c r="G51" s="181">
        <v>26.25</v>
      </c>
      <c r="H51" s="43">
        <v>8</v>
      </c>
    </row>
    <row r="52" spans="1:8" ht="15.75">
      <c r="A52" s="21">
        <f t="shared" si="5"/>
        <v>3</v>
      </c>
      <c r="B52" s="43" t="s">
        <v>188</v>
      </c>
      <c r="C52" s="43">
        <v>5</v>
      </c>
      <c r="D52" s="43">
        <v>5</v>
      </c>
      <c r="E52" s="181">
        <v>0.201</v>
      </c>
      <c r="F52" s="181">
        <v>1.005</v>
      </c>
      <c r="G52" s="181">
        <v>335.285</v>
      </c>
      <c r="H52" s="43">
        <v>10</v>
      </c>
    </row>
    <row r="53" spans="1:8" ht="15.75">
      <c r="A53" s="21">
        <f t="shared" si="5"/>
        <v>4</v>
      </c>
      <c r="B53" s="43" t="s">
        <v>189</v>
      </c>
      <c r="C53" s="43">
        <v>0</v>
      </c>
      <c r="D53" s="43">
        <v>0</v>
      </c>
      <c r="E53" s="181">
        <v>4004.6809999999996</v>
      </c>
      <c r="F53" s="181">
        <v>4004.6809999999996</v>
      </c>
      <c r="G53" s="181">
        <v>31255.601</v>
      </c>
      <c r="H53" s="43">
        <v>1406</v>
      </c>
    </row>
    <row r="54" spans="1:8" ht="15.75">
      <c r="A54" s="21">
        <f t="shared" si="5"/>
        <v>5</v>
      </c>
      <c r="B54" s="43" t="s">
        <v>190</v>
      </c>
      <c r="C54" s="43">
        <v>5</v>
      </c>
      <c r="D54" s="43">
        <v>4.06</v>
      </c>
      <c r="E54" s="181">
        <v>2.898</v>
      </c>
      <c r="F54" s="181">
        <v>2.898</v>
      </c>
      <c r="G54" s="181">
        <v>382.134</v>
      </c>
      <c r="H54" s="43">
        <v>16</v>
      </c>
    </row>
    <row r="55" spans="1:8" ht="15.75">
      <c r="A55" s="21">
        <f t="shared" si="5"/>
        <v>6</v>
      </c>
      <c r="B55" s="43" t="s">
        <v>192</v>
      </c>
      <c r="C55" s="43">
        <v>23</v>
      </c>
      <c r="D55" s="43">
        <v>37.22</v>
      </c>
      <c r="E55" s="181">
        <v>2.5</v>
      </c>
      <c r="F55" s="181">
        <v>25</v>
      </c>
      <c r="G55" s="181">
        <v>2850.48</v>
      </c>
      <c r="H55" s="43">
        <v>138</v>
      </c>
    </row>
    <row r="56" spans="1:8" ht="15.75">
      <c r="A56" s="21">
        <f t="shared" si="5"/>
        <v>7</v>
      </c>
      <c r="B56" s="43" t="s">
        <v>193</v>
      </c>
      <c r="C56" s="43">
        <v>58</v>
      </c>
      <c r="D56" s="43">
        <v>56.585</v>
      </c>
      <c r="E56" s="181">
        <v>1280.46</v>
      </c>
      <c r="F56" s="181">
        <v>1278.67</v>
      </c>
      <c r="G56" s="181">
        <v>7993.705</v>
      </c>
      <c r="H56" s="43">
        <v>1114</v>
      </c>
    </row>
    <row r="57" spans="1:8" ht="15.75">
      <c r="A57" s="21">
        <v>8</v>
      </c>
      <c r="B57" s="43" t="s">
        <v>222</v>
      </c>
      <c r="C57" s="43">
        <v>0</v>
      </c>
      <c r="D57" s="43">
        <v>0</v>
      </c>
      <c r="E57" s="181">
        <v>18.16</v>
      </c>
      <c r="F57" s="181">
        <v>10.9</v>
      </c>
      <c r="G57" s="181">
        <v>104.802</v>
      </c>
      <c r="H57" s="43">
        <v>0</v>
      </c>
    </row>
    <row r="58" spans="1:8" ht="15.75">
      <c r="A58" s="21">
        <v>9</v>
      </c>
      <c r="B58" s="43" t="s">
        <v>196</v>
      </c>
      <c r="C58" s="43">
        <v>7</v>
      </c>
      <c r="D58" s="43">
        <v>6.82</v>
      </c>
      <c r="E58" s="181">
        <v>1.332</v>
      </c>
      <c r="F58" s="181">
        <v>6.66</v>
      </c>
      <c r="G58" s="181">
        <v>82.223</v>
      </c>
      <c r="H58" s="43">
        <v>13</v>
      </c>
    </row>
    <row r="59" spans="1:8" ht="15.75">
      <c r="A59" s="21">
        <v>10</v>
      </c>
      <c r="B59" s="43" t="s">
        <v>200</v>
      </c>
      <c r="C59" s="43">
        <v>0</v>
      </c>
      <c r="D59" s="43">
        <v>0</v>
      </c>
      <c r="E59" s="181">
        <v>2162.157</v>
      </c>
      <c r="F59" s="181">
        <v>15135.1</v>
      </c>
      <c r="G59" s="181">
        <v>122767.688</v>
      </c>
      <c r="H59" s="43">
        <v>19800</v>
      </c>
    </row>
    <row r="60" spans="1:8" ht="15.75">
      <c r="A60" s="196">
        <v>11</v>
      </c>
      <c r="B60" s="225" t="s">
        <v>229</v>
      </c>
      <c r="C60" s="43">
        <v>0</v>
      </c>
      <c r="D60" s="43">
        <v>0</v>
      </c>
      <c r="E60" s="181">
        <v>0</v>
      </c>
      <c r="F60" s="181">
        <v>0</v>
      </c>
      <c r="G60" s="181">
        <v>17209.928</v>
      </c>
      <c r="H60" s="43">
        <v>0</v>
      </c>
    </row>
    <row r="61" spans="1:8" ht="15.75">
      <c r="A61" s="21"/>
      <c r="B61" s="74" t="s">
        <v>80</v>
      </c>
      <c r="C61" s="126">
        <f aca="true" t="shared" si="6" ref="C61:H61">SUM(C50:C60)</f>
        <v>99</v>
      </c>
      <c r="D61" s="126">
        <f t="shared" si="6"/>
        <v>110.685</v>
      </c>
      <c r="E61" s="126">
        <f t="shared" si="6"/>
        <v>7699.759</v>
      </c>
      <c r="F61" s="126">
        <f t="shared" si="6"/>
        <v>20555.568</v>
      </c>
      <c r="G61" s="126">
        <f t="shared" si="6"/>
        <v>184500.376</v>
      </c>
      <c r="H61" s="126">
        <f t="shared" si="6"/>
        <v>23105</v>
      </c>
    </row>
    <row r="62" spans="1:8" ht="21">
      <c r="A62" s="201" t="s">
        <v>230</v>
      </c>
      <c r="B62" s="68"/>
      <c r="C62" s="69"/>
      <c r="D62" s="70"/>
      <c r="E62" s="71"/>
      <c r="F62" s="71"/>
      <c r="G62" s="71"/>
      <c r="H62" s="69"/>
    </row>
    <row r="63" spans="1:8" ht="15.75">
      <c r="A63" s="30"/>
      <c r="B63" s="31"/>
      <c r="C63" s="32"/>
      <c r="D63" s="33" t="s">
        <v>91</v>
      </c>
      <c r="E63" s="34"/>
      <c r="F63" s="34"/>
      <c r="G63" s="34"/>
      <c r="H63" s="32"/>
    </row>
    <row r="64" spans="1:8" ht="31.5">
      <c r="A64" s="36" t="s">
        <v>3</v>
      </c>
      <c r="B64" s="38" t="s">
        <v>62</v>
      </c>
      <c r="C64" s="38" t="s">
        <v>5</v>
      </c>
      <c r="D64" s="39" t="s">
        <v>6</v>
      </c>
      <c r="E64" s="40" t="s">
        <v>7</v>
      </c>
      <c r="F64" s="41" t="s">
        <v>8</v>
      </c>
      <c r="G64" s="41" t="s">
        <v>9</v>
      </c>
      <c r="H64" s="38" t="s">
        <v>63</v>
      </c>
    </row>
    <row r="65" spans="1:8" ht="15.75">
      <c r="A65" s="21"/>
      <c r="B65" s="43"/>
      <c r="C65" s="44"/>
      <c r="D65" s="45" t="s">
        <v>11</v>
      </c>
      <c r="E65" s="46" t="s">
        <v>64</v>
      </c>
      <c r="F65" s="46" t="s">
        <v>65</v>
      </c>
      <c r="G65" s="46" t="s">
        <v>66</v>
      </c>
      <c r="H65" s="157" t="s">
        <v>15</v>
      </c>
    </row>
    <row r="66" spans="1:8" ht="15.75">
      <c r="A66" s="21">
        <v>1</v>
      </c>
      <c r="B66" s="43" t="s">
        <v>185</v>
      </c>
      <c r="C66" s="43">
        <v>0</v>
      </c>
      <c r="D66" s="43">
        <v>0</v>
      </c>
      <c r="E66" s="181">
        <v>19.333</v>
      </c>
      <c r="F66" s="181">
        <v>43.5</v>
      </c>
      <c r="G66" s="181">
        <v>29</v>
      </c>
      <c r="H66" s="43">
        <v>100</v>
      </c>
    </row>
    <row r="67" spans="1:8" ht="15.75">
      <c r="A67" s="21">
        <f>+A66+1</f>
        <v>2</v>
      </c>
      <c r="B67" s="43" t="s">
        <v>189</v>
      </c>
      <c r="C67" s="43">
        <v>0</v>
      </c>
      <c r="D67" s="43">
        <v>0</v>
      </c>
      <c r="E67" s="181">
        <v>65.125</v>
      </c>
      <c r="F67" s="181">
        <v>52.1</v>
      </c>
      <c r="G67" s="181">
        <v>535</v>
      </c>
      <c r="H67" s="43">
        <v>100</v>
      </c>
    </row>
    <row r="68" spans="1:8" ht="15.75">
      <c r="A68" s="21">
        <f>+A67+1</f>
        <v>3</v>
      </c>
      <c r="B68" s="43" t="s">
        <v>190</v>
      </c>
      <c r="C68" s="43">
        <v>8</v>
      </c>
      <c r="D68" s="43">
        <v>8</v>
      </c>
      <c r="E68" s="181">
        <v>10.355</v>
      </c>
      <c r="F68" s="181">
        <v>5.177</v>
      </c>
      <c r="G68" s="181">
        <v>973</v>
      </c>
      <c r="H68" s="43">
        <v>50</v>
      </c>
    </row>
    <row r="69" spans="1:8" ht="15.75">
      <c r="A69" s="21">
        <f>+A68+1</f>
        <v>4</v>
      </c>
      <c r="B69" s="43" t="s">
        <v>192</v>
      </c>
      <c r="C69" s="43">
        <v>77</v>
      </c>
      <c r="D69" s="43">
        <v>73.59</v>
      </c>
      <c r="E69" s="181">
        <v>513.2</v>
      </c>
      <c r="F69" s="181">
        <v>5645.2</v>
      </c>
      <c r="G69" s="181">
        <v>70877</v>
      </c>
      <c r="H69" s="43">
        <v>1200</v>
      </c>
    </row>
    <row r="70" spans="1:8" ht="15.75">
      <c r="A70" s="21">
        <f>+A69+1</f>
        <v>5</v>
      </c>
      <c r="B70" s="43" t="s">
        <v>193</v>
      </c>
      <c r="C70" s="43">
        <v>19</v>
      </c>
      <c r="D70" s="43">
        <v>19</v>
      </c>
      <c r="E70" s="181">
        <v>74.25</v>
      </c>
      <c r="F70" s="181">
        <v>22.27</v>
      </c>
      <c r="G70" s="181">
        <v>1287</v>
      </c>
      <c r="H70" s="43">
        <v>50</v>
      </c>
    </row>
    <row r="71" spans="1:8" ht="15.75">
      <c r="A71" s="196">
        <v>6</v>
      </c>
      <c r="B71" s="225" t="s">
        <v>229</v>
      </c>
      <c r="C71" s="43">
        <v>0</v>
      </c>
      <c r="D71" s="43">
        <v>0</v>
      </c>
      <c r="E71" s="181">
        <v>0</v>
      </c>
      <c r="F71" s="181">
        <v>0</v>
      </c>
      <c r="G71" s="181">
        <v>5225</v>
      </c>
      <c r="H71" s="43">
        <v>0</v>
      </c>
    </row>
    <row r="72" spans="1:8" ht="15.75">
      <c r="A72" s="21"/>
      <c r="B72" s="74" t="s">
        <v>80</v>
      </c>
      <c r="C72" s="126">
        <f aca="true" t="shared" si="7" ref="C72:H72">SUM(C66:C71)</f>
        <v>104</v>
      </c>
      <c r="D72" s="126">
        <f t="shared" si="7"/>
        <v>100.59</v>
      </c>
      <c r="E72" s="126">
        <f t="shared" si="7"/>
        <v>682.263</v>
      </c>
      <c r="F72" s="126">
        <f t="shared" si="7"/>
        <v>5768.247</v>
      </c>
      <c r="G72" s="128">
        <f t="shared" si="7"/>
        <v>78926</v>
      </c>
      <c r="H72" s="126">
        <f t="shared" si="7"/>
        <v>1500</v>
      </c>
    </row>
    <row r="73" spans="1:8" ht="21">
      <c r="A73" s="201" t="s">
        <v>230</v>
      </c>
      <c r="B73" s="68"/>
      <c r="C73" s="69"/>
      <c r="D73" s="70"/>
      <c r="E73" s="71"/>
      <c r="F73" s="71"/>
      <c r="G73" s="71"/>
      <c r="H73" s="69"/>
    </row>
    <row r="74" spans="1:8" ht="15.75">
      <c r="A74" s="30"/>
      <c r="B74" s="31"/>
      <c r="C74" s="32"/>
      <c r="D74" s="33" t="s">
        <v>231</v>
      </c>
      <c r="E74" s="34"/>
      <c r="F74" s="34"/>
      <c r="G74" s="34"/>
      <c r="H74" s="32"/>
    </row>
    <row r="75" spans="1:8" ht="31.5">
      <c r="A75" s="36" t="s">
        <v>3</v>
      </c>
      <c r="B75" s="38" t="s">
        <v>62</v>
      </c>
      <c r="C75" s="38" t="s">
        <v>5</v>
      </c>
      <c r="D75" s="39" t="s">
        <v>6</v>
      </c>
      <c r="E75" s="40" t="s">
        <v>7</v>
      </c>
      <c r="F75" s="41" t="s">
        <v>8</v>
      </c>
      <c r="G75" s="41" t="s">
        <v>9</v>
      </c>
      <c r="H75" s="38" t="s">
        <v>63</v>
      </c>
    </row>
    <row r="76" spans="1:8" ht="15.75">
      <c r="A76" s="21"/>
      <c r="B76" s="43"/>
      <c r="C76" s="44"/>
      <c r="D76" s="45" t="s">
        <v>11</v>
      </c>
      <c r="E76" s="46" t="s">
        <v>64</v>
      </c>
      <c r="F76" s="46" t="s">
        <v>65</v>
      </c>
      <c r="G76" s="46" t="s">
        <v>66</v>
      </c>
      <c r="H76" s="157" t="s">
        <v>15</v>
      </c>
    </row>
    <row r="77" spans="1:8" ht="15.75">
      <c r="A77" s="21">
        <v>1</v>
      </c>
      <c r="B77" s="43" t="s">
        <v>189</v>
      </c>
      <c r="C77" s="43">
        <v>0</v>
      </c>
      <c r="D77" s="43">
        <v>0</v>
      </c>
      <c r="E77" s="181">
        <v>174.006</v>
      </c>
      <c r="F77" s="181">
        <v>104.4</v>
      </c>
      <c r="G77" s="181">
        <v>2166.626</v>
      </c>
      <c r="H77" s="43">
        <v>300</v>
      </c>
    </row>
    <row r="78" spans="1:8" ht="15.75">
      <c r="A78" s="21">
        <v>2</v>
      </c>
      <c r="B78" s="43" t="s">
        <v>193</v>
      </c>
      <c r="C78" s="43">
        <v>25</v>
      </c>
      <c r="D78" s="43">
        <v>25</v>
      </c>
      <c r="E78" s="181">
        <v>3376.867</v>
      </c>
      <c r="F78" s="181">
        <v>2610.13</v>
      </c>
      <c r="G78" s="181">
        <v>3931.0969999999998</v>
      </c>
      <c r="H78" s="43">
        <v>597</v>
      </c>
    </row>
    <row r="79" spans="1:8" ht="15.75">
      <c r="A79" s="21">
        <v>3</v>
      </c>
      <c r="B79" s="43" t="s">
        <v>222</v>
      </c>
      <c r="C79" s="43">
        <v>0</v>
      </c>
      <c r="D79" s="43">
        <v>0</v>
      </c>
      <c r="E79" s="181">
        <v>21.42</v>
      </c>
      <c r="F79" s="181">
        <v>12.85</v>
      </c>
      <c r="G79" s="181">
        <v>2970.265</v>
      </c>
      <c r="H79" s="43">
        <v>250</v>
      </c>
    </row>
    <row r="80" spans="1:8" ht="15.75">
      <c r="A80" s="21">
        <v>4</v>
      </c>
      <c r="B80" s="43" t="s">
        <v>200</v>
      </c>
      <c r="C80" s="43">
        <v>5</v>
      </c>
      <c r="D80" s="43">
        <v>6</v>
      </c>
      <c r="E80" s="181">
        <v>0.338</v>
      </c>
      <c r="F80" s="181">
        <v>1.69</v>
      </c>
      <c r="G80" s="181">
        <v>94.13799999999999</v>
      </c>
      <c r="H80" s="43">
        <v>60</v>
      </c>
    </row>
    <row r="81" spans="1:8" ht="15.75">
      <c r="A81" s="21"/>
      <c r="B81" s="74" t="s">
        <v>80</v>
      </c>
      <c r="C81" s="126">
        <f aca="true" t="shared" si="8" ref="C81:H81">SUM(C77:C80)</f>
        <v>30</v>
      </c>
      <c r="D81" s="127">
        <f t="shared" si="8"/>
        <v>31</v>
      </c>
      <c r="E81" s="126">
        <f t="shared" si="8"/>
        <v>3572.6310000000003</v>
      </c>
      <c r="F81" s="126">
        <f t="shared" si="8"/>
        <v>2729.07</v>
      </c>
      <c r="G81" s="126">
        <f t="shared" si="8"/>
        <v>9162.126</v>
      </c>
      <c r="H81" s="126">
        <f t="shared" si="8"/>
        <v>1207</v>
      </c>
    </row>
    <row r="82" spans="1:8" ht="15.75">
      <c r="A82" s="75"/>
      <c r="B82" s="89"/>
      <c r="C82" s="90"/>
      <c r="D82" s="91"/>
      <c r="E82" s="92"/>
      <c r="F82" s="92"/>
      <c r="G82" s="92"/>
      <c r="H82" s="90"/>
    </row>
    <row r="83" spans="1:8" ht="21">
      <c r="A83" s="201" t="s">
        <v>230</v>
      </c>
      <c r="B83" s="89"/>
      <c r="C83" s="90"/>
      <c r="D83" s="91"/>
      <c r="E83" s="92"/>
      <c r="F83" s="92"/>
      <c r="G83" s="92"/>
      <c r="H83" s="90"/>
    </row>
    <row r="84" spans="1:8" ht="15.75">
      <c r="A84" s="30"/>
      <c r="B84" s="31"/>
      <c r="C84" s="32"/>
      <c r="D84" s="33" t="s">
        <v>95</v>
      </c>
      <c r="E84" s="34"/>
      <c r="F84" s="34"/>
      <c r="G84" s="34"/>
      <c r="H84" s="32"/>
    </row>
    <row r="85" spans="1:8" ht="31.5">
      <c r="A85" s="36" t="s">
        <v>3</v>
      </c>
      <c r="B85" s="38" t="s">
        <v>62</v>
      </c>
      <c r="C85" s="38" t="s">
        <v>5</v>
      </c>
      <c r="D85" s="39" t="s">
        <v>6</v>
      </c>
      <c r="E85" s="40" t="s">
        <v>7</v>
      </c>
      <c r="F85" s="41" t="s">
        <v>8</v>
      </c>
      <c r="G85" s="41" t="s">
        <v>9</v>
      </c>
      <c r="H85" s="38" t="s">
        <v>63</v>
      </c>
    </row>
    <row r="86" spans="1:8" ht="15.75">
      <c r="A86" s="21"/>
      <c r="B86" s="43"/>
      <c r="C86" s="44"/>
      <c r="D86" s="45" t="s">
        <v>11</v>
      </c>
      <c r="E86" s="46" t="s">
        <v>64</v>
      </c>
      <c r="F86" s="46" t="s">
        <v>65</v>
      </c>
      <c r="G86" s="46" t="s">
        <v>66</v>
      </c>
      <c r="H86" s="157" t="s">
        <v>15</v>
      </c>
    </row>
    <row r="87" spans="1:8" ht="15.75">
      <c r="A87" s="21">
        <v>1</v>
      </c>
      <c r="B87" s="43" t="s">
        <v>184</v>
      </c>
      <c r="C87" s="43">
        <v>13</v>
      </c>
      <c r="D87" s="43">
        <v>84.4</v>
      </c>
      <c r="E87" s="181">
        <v>53.111</v>
      </c>
      <c r="F87" s="181">
        <v>79.666</v>
      </c>
      <c r="G87" s="181">
        <v>3230.333</v>
      </c>
      <c r="H87" s="43">
        <v>198</v>
      </c>
    </row>
    <row r="88" spans="1:8" ht="15.75">
      <c r="A88" s="21">
        <f>+A87+1</f>
        <v>2</v>
      </c>
      <c r="B88" s="43" t="s">
        <v>225</v>
      </c>
      <c r="C88" s="43">
        <v>24</v>
      </c>
      <c r="D88" s="43">
        <v>55.43</v>
      </c>
      <c r="E88" s="181">
        <v>7.01</v>
      </c>
      <c r="F88" s="181">
        <v>49.068</v>
      </c>
      <c r="G88" s="181">
        <v>473.552</v>
      </c>
      <c r="H88" s="43">
        <v>145</v>
      </c>
    </row>
    <row r="89" spans="1:8" ht="15.75">
      <c r="A89" s="21">
        <f>+A88+1</f>
        <v>3</v>
      </c>
      <c r="B89" s="43" t="s">
        <v>188</v>
      </c>
      <c r="C89" s="43">
        <v>39</v>
      </c>
      <c r="D89" s="43">
        <v>84.72</v>
      </c>
      <c r="E89" s="181">
        <v>127.26</v>
      </c>
      <c r="F89" s="181">
        <v>396.156</v>
      </c>
      <c r="G89" s="181">
        <v>2034.552</v>
      </c>
      <c r="H89" s="43">
        <v>380</v>
      </c>
    </row>
    <row r="90" spans="1:8" ht="15.75">
      <c r="A90" s="21">
        <f>+A89+1</f>
        <v>4</v>
      </c>
      <c r="B90" s="43" t="s">
        <v>189</v>
      </c>
      <c r="C90" s="43">
        <v>0</v>
      </c>
      <c r="D90" s="43">
        <v>0</v>
      </c>
      <c r="E90" s="181">
        <v>1059.935</v>
      </c>
      <c r="F90" s="181">
        <v>1130.671</v>
      </c>
      <c r="G90" s="181">
        <v>18807.551</v>
      </c>
      <c r="H90" s="43">
        <v>1256</v>
      </c>
    </row>
    <row r="91" spans="1:8" ht="15.75">
      <c r="A91" s="21">
        <f>+A90+1</f>
        <v>5</v>
      </c>
      <c r="B91" s="43" t="s">
        <v>193</v>
      </c>
      <c r="C91" s="43">
        <v>187</v>
      </c>
      <c r="D91" s="43">
        <v>186.76</v>
      </c>
      <c r="E91" s="181">
        <v>3715.334</v>
      </c>
      <c r="F91" s="181">
        <v>5201.467</v>
      </c>
      <c r="G91" s="181">
        <v>29740.777</v>
      </c>
      <c r="H91" s="43">
        <v>1496</v>
      </c>
    </row>
    <row r="92" spans="1:8" ht="15.75">
      <c r="A92" s="21">
        <f>+A91+1</f>
        <v>6</v>
      </c>
      <c r="B92" s="43" t="s">
        <v>222</v>
      </c>
      <c r="C92" s="43">
        <v>0</v>
      </c>
      <c r="D92" s="43">
        <v>0</v>
      </c>
      <c r="E92" s="181">
        <v>22810.59</v>
      </c>
      <c r="F92" s="181">
        <v>2835.969</v>
      </c>
      <c r="G92" s="181">
        <v>18951.28</v>
      </c>
      <c r="H92" s="43">
        <v>820</v>
      </c>
    </row>
    <row r="93" spans="1:8" ht="15.75">
      <c r="A93" s="21"/>
      <c r="B93" s="74" t="s">
        <v>80</v>
      </c>
      <c r="C93" s="126">
        <f aca="true" t="shared" si="9" ref="C93:H93">SUM(C87:C92)</f>
        <v>263</v>
      </c>
      <c r="D93" s="126">
        <f t="shared" si="9"/>
        <v>411.31</v>
      </c>
      <c r="E93" s="126">
        <f t="shared" si="9"/>
        <v>27773.239999999998</v>
      </c>
      <c r="F93" s="126">
        <f t="shared" si="9"/>
        <v>9692.997</v>
      </c>
      <c r="G93" s="126">
        <f t="shared" si="9"/>
        <v>73238.045</v>
      </c>
      <c r="H93" s="126">
        <f t="shared" si="9"/>
        <v>4295</v>
      </c>
    </row>
    <row r="94" spans="1:8" ht="15.75">
      <c r="A94" s="75"/>
      <c r="B94" s="76"/>
      <c r="C94" s="208"/>
      <c r="D94" s="208"/>
      <c r="E94" s="208"/>
      <c r="F94" s="208"/>
      <c r="G94" s="208"/>
      <c r="H94" s="208"/>
    </row>
    <row r="95" spans="1:8" ht="15.75">
      <c r="A95" s="75"/>
      <c r="B95" s="89"/>
      <c r="C95" s="90"/>
      <c r="D95" s="81" t="s">
        <v>232</v>
      </c>
      <c r="E95" s="92"/>
      <c r="F95" s="92"/>
      <c r="G95" s="92"/>
      <c r="H95" s="90"/>
    </row>
    <row r="96" spans="1:8" s="89" customFormat="1" ht="31.5">
      <c r="A96" s="43" t="s">
        <v>3</v>
      </c>
      <c r="B96" s="43" t="s">
        <v>62</v>
      </c>
      <c r="C96" s="43" t="s">
        <v>5</v>
      </c>
      <c r="D96" s="43" t="s">
        <v>6</v>
      </c>
      <c r="E96" s="181" t="s">
        <v>7</v>
      </c>
      <c r="F96" s="181" t="s">
        <v>8</v>
      </c>
      <c r="G96" s="181" t="s">
        <v>9</v>
      </c>
      <c r="H96" s="38" t="s">
        <v>63</v>
      </c>
    </row>
    <row r="97" spans="1:8" s="89" customFormat="1" ht="15.75">
      <c r="A97" s="43"/>
      <c r="B97" s="43"/>
      <c r="C97" s="43"/>
      <c r="D97" s="43" t="s">
        <v>11</v>
      </c>
      <c r="E97" s="181" t="s">
        <v>64</v>
      </c>
      <c r="F97" s="181" t="s">
        <v>65</v>
      </c>
      <c r="G97" s="181" t="s">
        <v>66</v>
      </c>
      <c r="H97" s="43" t="s">
        <v>15</v>
      </c>
    </row>
    <row r="98" spans="1:8" s="89" customFormat="1" ht="15.75">
      <c r="A98" s="43">
        <v>1</v>
      </c>
      <c r="B98" s="43" t="s">
        <v>185</v>
      </c>
      <c r="C98" s="43">
        <v>0</v>
      </c>
      <c r="D98" s="43">
        <v>0</v>
      </c>
      <c r="E98" s="181">
        <v>252</v>
      </c>
      <c r="F98" s="181">
        <v>352.8</v>
      </c>
      <c r="G98" s="181">
        <v>1905.3139999999999</v>
      </c>
      <c r="H98" s="43">
        <v>350</v>
      </c>
    </row>
    <row r="99" spans="1:8" s="89" customFormat="1" ht="15.75">
      <c r="A99" s="43">
        <f>+A98+1</f>
        <v>2</v>
      </c>
      <c r="B99" s="43" t="s">
        <v>225</v>
      </c>
      <c r="C99" s="43">
        <v>1</v>
      </c>
      <c r="D99" s="43">
        <v>1300</v>
      </c>
      <c r="E99" s="181">
        <v>3</v>
      </c>
      <c r="F99" s="181">
        <v>6</v>
      </c>
      <c r="G99" s="181">
        <v>110</v>
      </c>
      <c r="H99" s="43">
        <v>3</v>
      </c>
    </row>
    <row r="100" spans="1:8" s="89" customFormat="1" ht="15.75">
      <c r="A100" s="43">
        <f>+A99+1</f>
        <v>3</v>
      </c>
      <c r="B100" s="43" t="s">
        <v>189</v>
      </c>
      <c r="C100" s="43">
        <v>19</v>
      </c>
      <c r="D100" s="43">
        <v>56.15</v>
      </c>
      <c r="E100" s="181">
        <v>1358.25</v>
      </c>
      <c r="F100" s="181">
        <v>679.125</v>
      </c>
      <c r="G100" s="181">
        <v>23314.666</v>
      </c>
      <c r="H100" s="43">
        <v>450</v>
      </c>
    </row>
    <row r="101" spans="1:8" s="89" customFormat="1" ht="15.75">
      <c r="A101" s="43">
        <f>+A100+1</f>
        <v>4</v>
      </c>
      <c r="B101" s="43" t="s">
        <v>190</v>
      </c>
      <c r="C101" s="43">
        <v>4</v>
      </c>
      <c r="D101" s="43">
        <v>18.84</v>
      </c>
      <c r="E101" s="181">
        <v>11</v>
      </c>
      <c r="F101" s="181">
        <v>8.25</v>
      </c>
      <c r="G101" s="181">
        <v>498.863</v>
      </c>
      <c r="H101" s="43">
        <v>16</v>
      </c>
    </row>
    <row r="102" spans="1:8" s="89" customFormat="1" ht="15.75">
      <c r="A102" s="43">
        <v>5</v>
      </c>
      <c r="B102" s="43" t="s">
        <v>193</v>
      </c>
      <c r="C102" s="43">
        <v>3</v>
      </c>
      <c r="D102" s="43">
        <v>3</v>
      </c>
      <c r="E102" s="181">
        <v>5.496999999999844</v>
      </c>
      <c r="F102" s="181">
        <v>2.75</v>
      </c>
      <c r="G102" s="181">
        <v>5518.988999999998</v>
      </c>
      <c r="H102" s="43">
        <v>5</v>
      </c>
    </row>
    <row r="103" spans="1:8" s="89" customFormat="1" ht="15.75">
      <c r="A103" s="43">
        <v>6</v>
      </c>
      <c r="B103" s="43" t="s">
        <v>200</v>
      </c>
      <c r="C103" s="43">
        <v>0</v>
      </c>
      <c r="D103" s="43">
        <v>0</v>
      </c>
      <c r="E103" s="181">
        <v>12.543</v>
      </c>
      <c r="F103" s="181">
        <v>6.280999999999999</v>
      </c>
      <c r="G103" s="181">
        <v>133.788</v>
      </c>
      <c r="H103" s="43">
        <v>46</v>
      </c>
    </row>
    <row r="104" spans="1:8" s="89" customFormat="1" ht="15.75">
      <c r="A104" s="43"/>
      <c r="B104" s="43" t="s">
        <v>80</v>
      </c>
      <c r="C104" s="74">
        <f aca="true" t="shared" si="10" ref="C104:H104">SUM(C98:C103)</f>
        <v>27</v>
      </c>
      <c r="D104" s="74">
        <f t="shared" si="10"/>
        <v>1377.99</v>
      </c>
      <c r="E104" s="74">
        <f t="shared" si="10"/>
        <v>1642.2899999999997</v>
      </c>
      <c r="F104" s="74">
        <f t="shared" si="10"/>
        <v>1055.206</v>
      </c>
      <c r="G104" s="74">
        <f t="shared" si="10"/>
        <v>31481.62</v>
      </c>
      <c r="H104" s="74">
        <f t="shared" si="10"/>
        <v>870</v>
      </c>
    </row>
    <row r="105" spans="1:8" s="75" customFormat="1" ht="21">
      <c r="A105" s="201" t="s">
        <v>230</v>
      </c>
      <c r="B105" s="68"/>
      <c r="C105" s="69"/>
      <c r="D105" s="70"/>
      <c r="E105" s="71"/>
      <c r="F105" s="71"/>
      <c r="G105" s="71"/>
      <c r="H105" s="69"/>
    </row>
    <row r="106" spans="1:8" s="75" customFormat="1" ht="15.75">
      <c r="A106" s="30"/>
      <c r="B106" s="31"/>
      <c r="C106" s="32"/>
      <c r="D106" s="33" t="s">
        <v>233</v>
      </c>
      <c r="E106" s="34"/>
      <c r="F106" s="34"/>
      <c r="G106" s="34"/>
      <c r="H106" s="32"/>
    </row>
    <row r="107" spans="1:8" s="75" customFormat="1" ht="31.5">
      <c r="A107" s="36" t="s">
        <v>3</v>
      </c>
      <c r="B107" s="38" t="s">
        <v>62</v>
      </c>
      <c r="C107" s="38" t="s">
        <v>5</v>
      </c>
      <c r="D107" s="39" t="s">
        <v>6</v>
      </c>
      <c r="E107" s="40" t="s">
        <v>7</v>
      </c>
      <c r="F107" s="41" t="s">
        <v>8</v>
      </c>
      <c r="G107" s="41" t="s">
        <v>9</v>
      </c>
      <c r="H107" s="38" t="s">
        <v>63</v>
      </c>
    </row>
    <row r="108" spans="1:8" s="75" customFormat="1" ht="15.75">
      <c r="A108" s="21"/>
      <c r="B108" s="43"/>
      <c r="C108" s="44"/>
      <c r="D108" s="45" t="s">
        <v>11</v>
      </c>
      <c r="E108" s="46" t="s">
        <v>64</v>
      </c>
      <c r="F108" s="46" t="s">
        <v>65</v>
      </c>
      <c r="G108" s="46" t="s">
        <v>66</v>
      </c>
      <c r="H108" s="157" t="s">
        <v>15</v>
      </c>
    </row>
    <row r="109" spans="1:8" s="75" customFormat="1" ht="15.75">
      <c r="A109" s="21">
        <v>1</v>
      </c>
      <c r="B109" s="43" t="s">
        <v>185</v>
      </c>
      <c r="C109" s="43">
        <v>0</v>
      </c>
      <c r="D109" s="43">
        <v>0</v>
      </c>
      <c r="E109" s="181">
        <v>148</v>
      </c>
      <c r="F109" s="181">
        <v>44.4</v>
      </c>
      <c r="G109" s="181">
        <v>232</v>
      </c>
      <c r="H109" s="43">
        <v>0</v>
      </c>
    </row>
    <row r="110" spans="1:8" s="75" customFormat="1" ht="15.75">
      <c r="A110" s="21">
        <v>2</v>
      </c>
      <c r="B110" s="43" t="s">
        <v>188</v>
      </c>
      <c r="C110" s="43">
        <v>0</v>
      </c>
      <c r="D110" s="43">
        <v>0</v>
      </c>
      <c r="E110" s="181">
        <v>0</v>
      </c>
      <c r="F110" s="181">
        <v>0</v>
      </c>
      <c r="G110" s="181">
        <v>5.075</v>
      </c>
      <c r="H110" s="43">
        <v>0</v>
      </c>
    </row>
    <row r="111" spans="1:8" s="75" customFormat="1" ht="15.75">
      <c r="A111" s="21">
        <v>3</v>
      </c>
      <c r="B111" s="43" t="s">
        <v>189</v>
      </c>
      <c r="C111" s="43">
        <v>0</v>
      </c>
      <c r="D111" s="43">
        <v>0</v>
      </c>
      <c r="E111" s="181">
        <v>45</v>
      </c>
      <c r="F111" s="181">
        <v>22.5</v>
      </c>
      <c r="G111" s="181">
        <v>360</v>
      </c>
      <c r="H111" s="43">
        <v>0</v>
      </c>
    </row>
    <row r="112" spans="1:8" s="75" customFormat="1" ht="15.75">
      <c r="A112" s="21">
        <v>4</v>
      </c>
      <c r="B112" s="43" t="s">
        <v>190</v>
      </c>
      <c r="C112" s="43">
        <v>34</v>
      </c>
      <c r="D112" s="43">
        <v>46.45</v>
      </c>
      <c r="E112" s="181">
        <v>314.033</v>
      </c>
      <c r="F112" s="181">
        <v>267.001</v>
      </c>
      <c r="G112" s="181">
        <v>14318.982</v>
      </c>
      <c r="H112" s="43">
        <v>270</v>
      </c>
    </row>
    <row r="113" spans="1:8" s="75" customFormat="1" ht="15.75">
      <c r="A113" s="21">
        <v>5</v>
      </c>
      <c r="B113" s="43" t="s">
        <v>192</v>
      </c>
      <c r="C113" s="43">
        <v>12</v>
      </c>
      <c r="D113" s="43">
        <v>31.4688</v>
      </c>
      <c r="E113" s="181">
        <v>4.67</v>
      </c>
      <c r="F113" s="181">
        <v>2.38</v>
      </c>
      <c r="G113" s="181">
        <v>1190.222</v>
      </c>
      <c r="H113" s="43">
        <v>48</v>
      </c>
    </row>
    <row r="114" spans="1:8" s="75" customFormat="1" ht="15.75">
      <c r="A114" s="21">
        <v>6</v>
      </c>
      <c r="B114" s="43" t="s">
        <v>193</v>
      </c>
      <c r="C114" s="43">
        <v>65</v>
      </c>
      <c r="D114" s="43">
        <v>66.68</v>
      </c>
      <c r="E114" s="181">
        <v>189.351</v>
      </c>
      <c r="F114" s="181">
        <v>111.389</v>
      </c>
      <c r="G114" s="181">
        <v>2693.842</v>
      </c>
      <c r="H114" s="43">
        <v>171</v>
      </c>
    </row>
    <row r="115" spans="1:8" s="75" customFormat="1" ht="15.75">
      <c r="A115" s="21">
        <v>7</v>
      </c>
      <c r="B115" s="43" t="s">
        <v>222</v>
      </c>
      <c r="C115" s="43">
        <v>0</v>
      </c>
      <c r="D115" s="43">
        <v>0</v>
      </c>
      <c r="E115" s="181">
        <v>7.453</v>
      </c>
      <c r="F115" s="181">
        <v>3.726</v>
      </c>
      <c r="G115" s="181">
        <v>59.625</v>
      </c>
      <c r="H115" s="43">
        <v>0</v>
      </c>
    </row>
    <row r="116" spans="1:8" s="75" customFormat="1" ht="15.75">
      <c r="A116" s="21">
        <v>8</v>
      </c>
      <c r="B116" s="43" t="s">
        <v>200</v>
      </c>
      <c r="C116" s="43">
        <v>771</v>
      </c>
      <c r="D116" s="43">
        <v>1675.46</v>
      </c>
      <c r="E116" s="181">
        <v>1905.51</v>
      </c>
      <c r="F116" s="181">
        <v>8099.71</v>
      </c>
      <c r="G116" s="181">
        <v>89372.755</v>
      </c>
      <c r="H116" s="43">
        <v>11740</v>
      </c>
    </row>
    <row r="117" spans="1:8" s="75" customFormat="1" ht="15.75">
      <c r="A117" s="21">
        <v>9</v>
      </c>
      <c r="B117" s="43" t="s">
        <v>203</v>
      </c>
      <c r="C117" s="43">
        <v>4</v>
      </c>
      <c r="D117" s="43">
        <v>4</v>
      </c>
      <c r="E117" s="181">
        <v>0.875</v>
      </c>
      <c r="F117" s="181">
        <v>3.5</v>
      </c>
      <c r="G117" s="181">
        <v>158.137</v>
      </c>
      <c r="H117" s="43">
        <v>12</v>
      </c>
    </row>
    <row r="118" spans="1:8" s="75" customFormat="1" ht="15.75">
      <c r="A118" s="21">
        <v>10</v>
      </c>
      <c r="B118" s="43" t="s">
        <v>234</v>
      </c>
      <c r="C118" s="43">
        <v>0</v>
      </c>
      <c r="D118" s="43">
        <v>0</v>
      </c>
      <c r="E118" s="181">
        <v>0</v>
      </c>
      <c r="F118" s="181">
        <v>0</v>
      </c>
      <c r="G118" s="181">
        <v>7700.05</v>
      </c>
      <c r="H118" s="43">
        <v>0</v>
      </c>
    </row>
    <row r="119" spans="1:8" s="75" customFormat="1" ht="15.75">
      <c r="A119" s="21"/>
      <c r="B119" s="74" t="s">
        <v>80</v>
      </c>
      <c r="C119" s="129">
        <f aca="true" t="shared" si="11" ref="C119:H119">SUM(C109:C118)</f>
        <v>886</v>
      </c>
      <c r="D119" s="127">
        <f t="shared" si="11"/>
        <v>1824.0588</v>
      </c>
      <c r="E119" s="128">
        <f t="shared" si="11"/>
        <v>2614.892</v>
      </c>
      <c r="F119" s="128">
        <f t="shared" si="11"/>
        <v>8554.606</v>
      </c>
      <c r="G119" s="128">
        <f t="shared" si="11"/>
        <v>116090.68800000001</v>
      </c>
      <c r="H119" s="129">
        <f t="shared" si="11"/>
        <v>12241</v>
      </c>
    </row>
    <row r="120" spans="1:8" s="75" customFormat="1" ht="21">
      <c r="A120" s="201" t="s">
        <v>230</v>
      </c>
      <c r="B120" s="68"/>
      <c r="C120" s="69"/>
      <c r="D120" s="70"/>
      <c r="E120" s="71"/>
      <c r="F120" s="71"/>
      <c r="G120" s="71"/>
      <c r="H120" s="69"/>
    </row>
    <row r="121" spans="2:8" s="75" customFormat="1" ht="15.75">
      <c r="B121" s="89"/>
      <c r="C121" s="90"/>
      <c r="D121" s="81" t="s">
        <v>235</v>
      </c>
      <c r="E121" s="92"/>
      <c r="F121" s="92"/>
      <c r="G121" s="92"/>
      <c r="H121" s="90"/>
    </row>
    <row r="122" spans="1:8" s="75" customFormat="1" ht="15.75">
      <c r="A122" s="43" t="s">
        <v>3</v>
      </c>
      <c r="B122" s="43" t="s">
        <v>62</v>
      </c>
      <c r="C122" s="43" t="s">
        <v>5</v>
      </c>
      <c r="D122" s="43" t="s">
        <v>6</v>
      </c>
      <c r="E122" s="181" t="s">
        <v>7</v>
      </c>
      <c r="F122" s="181" t="s">
        <v>8</v>
      </c>
      <c r="G122" s="181" t="s">
        <v>9</v>
      </c>
      <c r="H122" s="43" t="s">
        <v>63</v>
      </c>
    </row>
    <row r="123" spans="1:8" s="75" customFormat="1" ht="15.75">
      <c r="A123" s="43"/>
      <c r="B123" s="43"/>
      <c r="C123" s="43"/>
      <c r="D123" s="43" t="s">
        <v>11</v>
      </c>
      <c r="E123" s="181" t="s">
        <v>64</v>
      </c>
      <c r="F123" s="181" t="s">
        <v>65</v>
      </c>
      <c r="G123" s="181" t="s">
        <v>66</v>
      </c>
      <c r="H123" s="43" t="s">
        <v>15</v>
      </c>
    </row>
    <row r="124" spans="1:8" s="75" customFormat="1" ht="15.75">
      <c r="A124" s="43">
        <v>1</v>
      </c>
      <c r="B124" s="43" t="s">
        <v>185</v>
      </c>
      <c r="C124" s="43">
        <v>10</v>
      </c>
      <c r="D124" s="43">
        <v>6.76</v>
      </c>
      <c r="E124" s="181">
        <v>91</v>
      </c>
      <c r="F124" s="181">
        <v>127.4</v>
      </c>
      <c r="G124" s="181">
        <v>528.61</v>
      </c>
      <c r="H124" s="43">
        <v>200</v>
      </c>
    </row>
    <row r="125" spans="1:8" s="75" customFormat="1" ht="15.75">
      <c r="A125" s="21">
        <v>2</v>
      </c>
      <c r="B125" s="43" t="s">
        <v>193</v>
      </c>
      <c r="C125" s="43">
        <v>108</v>
      </c>
      <c r="D125" s="43">
        <v>79.09</v>
      </c>
      <c r="E125" s="181">
        <v>3349.876</v>
      </c>
      <c r="F125" s="181">
        <v>1674.936</v>
      </c>
      <c r="G125" s="181">
        <v>23811.645</v>
      </c>
      <c r="H125" s="43">
        <v>450</v>
      </c>
    </row>
    <row r="126" spans="1:8" s="75" customFormat="1" ht="15.75">
      <c r="A126" s="21">
        <v>3</v>
      </c>
      <c r="B126" s="43" t="s">
        <v>192</v>
      </c>
      <c r="C126" s="43">
        <v>50</v>
      </c>
      <c r="D126" s="43">
        <v>91.41</v>
      </c>
      <c r="E126" s="181">
        <v>97.936</v>
      </c>
      <c r="F126" s="181">
        <v>979.36</v>
      </c>
      <c r="G126" s="181">
        <v>14200.779</v>
      </c>
      <c r="H126" s="43">
        <v>145</v>
      </c>
    </row>
    <row r="127" spans="1:8" s="75" customFormat="1" ht="15.75">
      <c r="A127" s="21">
        <v>4</v>
      </c>
      <c r="B127" s="43" t="s">
        <v>200</v>
      </c>
      <c r="C127" s="43">
        <v>0</v>
      </c>
      <c r="D127" s="43">
        <v>0</v>
      </c>
      <c r="E127" s="181">
        <v>51.879</v>
      </c>
      <c r="F127" s="181">
        <v>25.93</v>
      </c>
      <c r="G127" s="181">
        <v>553.384</v>
      </c>
      <c r="H127" s="43">
        <v>34</v>
      </c>
    </row>
    <row r="128" spans="1:8" s="75" customFormat="1" ht="15.75">
      <c r="A128" s="43"/>
      <c r="B128" s="43" t="s">
        <v>80</v>
      </c>
      <c r="C128" s="74">
        <f aca="true" t="shared" si="12" ref="C128:H128">SUM(C124:C127)</f>
        <v>168</v>
      </c>
      <c r="D128" s="74">
        <f t="shared" si="12"/>
        <v>177.26</v>
      </c>
      <c r="E128" s="74">
        <f t="shared" si="12"/>
        <v>3590.6910000000003</v>
      </c>
      <c r="F128" s="74">
        <f t="shared" si="12"/>
        <v>2807.6259999999997</v>
      </c>
      <c r="G128" s="74">
        <f t="shared" si="12"/>
        <v>39094.418</v>
      </c>
      <c r="H128" s="74">
        <f t="shared" si="12"/>
        <v>829</v>
      </c>
    </row>
    <row r="129" spans="2:8" s="75" customFormat="1" ht="15.75">
      <c r="B129" s="76"/>
      <c r="C129" s="208"/>
      <c r="D129" s="211"/>
      <c r="E129" s="212"/>
      <c r="F129" s="212"/>
      <c r="G129" s="212"/>
      <c r="H129" s="208"/>
    </row>
    <row r="130" spans="1:8" ht="15.75">
      <c r="A130" s="75"/>
      <c r="B130" s="89"/>
      <c r="C130" s="90"/>
      <c r="D130" s="81" t="s">
        <v>109</v>
      </c>
      <c r="E130" s="92"/>
      <c r="F130" s="92"/>
      <c r="G130" s="92"/>
      <c r="H130" s="90"/>
    </row>
    <row r="131" spans="1:8" s="89" customFormat="1" ht="15.75">
      <c r="A131" s="43" t="s">
        <v>3</v>
      </c>
      <c r="B131" s="43" t="s">
        <v>62</v>
      </c>
      <c r="C131" s="43" t="s">
        <v>5</v>
      </c>
      <c r="D131" s="43" t="s">
        <v>6</v>
      </c>
      <c r="E131" s="181" t="s">
        <v>7</v>
      </c>
      <c r="F131" s="181" t="s">
        <v>8</v>
      </c>
      <c r="G131" s="181" t="s">
        <v>9</v>
      </c>
      <c r="H131" s="43" t="s">
        <v>63</v>
      </c>
    </row>
    <row r="132" spans="1:8" s="89" customFormat="1" ht="15.75">
      <c r="A132" s="43"/>
      <c r="B132" s="43"/>
      <c r="C132" s="43"/>
      <c r="D132" s="43" t="s">
        <v>11</v>
      </c>
      <c r="E132" s="181" t="s">
        <v>64</v>
      </c>
      <c r="F132" s="181" t="s">
        <v>65</v>
      </c>
      <c r="G132" s="181" t="s">
        <v>66</v>
      </c>
      <c r="H132" s="43" t="s">
        <v>15</v>
      </c>
    </row>
    <row r="133" spans="1:8" s="89" customFormat="1" ht="15.75">
      <c r="A133" s="43"/>
      <c r="B133" s="43"/>
      <c r="C133" s="43"/>
      <c r="D133" s="43"/>
      <c r="E133" s="43"/>
      <c r="F133" s="43"/>
      <c r="G133" s="43"/>
      <c r="H133" s="43"/>
    </row>
    <row r="134" spans="1:8" s="89" customFormat="1" ht="15.75">
      <c r="A134" s="43">
        <v>1</v>
      </c>
      <c r="B134" s="43" t="s">
        <v>185</v>
      </c>
      <c r="C134" s="43">
        <v>0</v>
      </c>
      <c r="D134" s="43">
        <v>0</v>
      </c>
      <c r="E134" s="181">
        <f>173.648+12.5</f>
        <v>186.148</v>
      </c>
      <c r="F134" s="181">
        <f>86.82+8.75</f>
        <v>95.57</v>
      </c>
      <c r="G134" s="181">
        <v>261.472</v>
      </c>
      <c r="H134" s="43">
        <v>150</v>
      </c>
    </row>
    <row r="135" spans="1:8" s="89" customFormat="1" ht="15.75">
      <c r="A135" s="43">
        <v>2</v>
      </c>
      <c r="B135" s="43" t="s">
        <v>215</v>
      </c>
      <c r="C135" s="43">
        <v>7</v>
      </c>
      <c r="D135" s="43">
        <v>3.46</v>
      </c>
      <c r="E135" s="181">
        <v>2.537</v>
      </c>
      <c r="F135" s="181">
        <v>2.537</v>
      </c>
      <c r="G135" s="181">
        <v>310.203</v>
      </c>
      <c r="H135" s="43">
        <v>26</v>
      </c>
    </row>
    <row r="136" spans="1:8" s="89" customFormat="1" ht="15.75">
      <c r="A136" s="43">
        <v>3</v>
      </c>
      <c r="B136" s="43" t="s">
        <v>189</v>
      </c>
      <c r="C136" s="43">
        <v>0</v>
      </c>
      <c r="D136" s="43">
        <v>0</v>
      </c>
      <c r="E136" s="181">
        <v>927.827</v>
      </c>
      <c r="F136" s="181">
        <v>432.97799999999995</v>
      </c>
      <c r="G136" s="181">
        <v>8106.375</v>
      </c>
      <c r="H136" s="43">
        <v>260</v>
      </c>
    </row>
    <row r="137" spans="1:8" s="89" customFormat="1" ht="15.75">
      <c r="A137" s="43">
        <v>4</v>
      </c>
      <c r="B137" s="43" t="s">
        <v>190</v>
      </c>
      <c r="C137" s="43">
        <v>8</v>
      </c>
      <c r="D137" s="43">
        <v>128.35</v>
      </c>
      <c r="E137" s="181">
        <v>87.691</v>
      </c>
      <c r="F137" s="181">
        <v>107.89699999999999</v>
      </c>
      <c r="G137" s="181">
        <v>3519.632</v>
      </c>
      <c r="H137" s="43">
        <v>45</v>
      </c>
    </row>
    <row r="138" spans="1:8" s="89" customFormat="1" ht="15.75">
      <c r="A138" s="43">
        <v>5</v>
      </c>
      <c r="B138" s="43" t="s">
        <v>191</v>
      </c>
      <c r="C138" s="43">
        <v>1</v>
      </c>
      <c r="D138" s="43">
        <v>1</v>
      </c>
      <c r="E138" s="181">
        <v>941.671</v>
      </c>
      <c r="F138" s="181">
        <v>573.9559999999999</v>
      </c>
      <c r="G138" s="181">
        <v>23393.431999999997</v>
      </c>
      <c r="H138" s="43">
        <v>800</v>
      </c>
    </row>
    <row r="139" spans="1:8" s="89" customFormat="1" ht="15.75">
      <c r="A139" s="43">
        <v>6</v>
      </c>
      <c r="B139" s="43" t="s">
        <v>192</v>
      </c>
      <c r="C139" s="43">
        <v>33</v>
      </c>
      <c r="D139" s="43">
        <v>36.68</v>
      </c>
      <c r="E139" s="181">
        <v>4.975</v>
      </c>
      <c r="F139" s="181">
        <v>32.433</v>
      </c>
      <c r="G139" s="181">
        <v>2182.57</v>
      </c>
      <c r="H139" s="43">
        <v>56</v>
      </c>
    </row>
    <row r="140" spans="1:8" s="89" customFormat="1" ht="15.75">
      <c r="A140" s="43">
        <v>7</v>
      </c>
      <c r="B140" s="43" t="s">
        <v>193</v>
      </c>
      <c r="C140" s="43">
        <v>7</v>
      </c>
      <c r="D140" s="43">
        <v>8.1</v>
      </c>
      <c r="E140" s="181">
        <f>2307.123+0.136</f>
        <v>2307.259</v>
      </c>
      <c r="F140" s="181">
        <f>1209.529+0.027</f>
        <v>1209.556</v>
      </c>
      <c r="G140" s="181">
        <f>14868.875+5.623</f>
        <v>14874.498</v>
      </c>
      <c r="H140" s="43">
        <v>1467</v>
      </c>
    </row>
    <row r="141" spans="1:8" s="89" customFormat="1" ht="15.75">
      <c r="A141" s="43">
        <v>8</v>
      </c>
      <c r="B141" s="43" t="s">
        <v>222</v>
      </c>
      <c r="C141" s="43">
        <v>0</v>
      </c>
      <c r="D141" s="43">
        <v>0</v>
      </c>
      <c r="E141" s="181">
        <f>1+11924.025+66.768</f>
        <v>11991.793</v>
      </c>
      <c r="F141" s="181">
        <f>0.6+3577.207+33.38</f>
        <v>3611.187</v>
      </c>
      <c r="G141" s="181">
        <f>10.25+18920.51</f>
        <v>18930.76</v>
      </c>
      <c r="H141" s="43">
        <v>235</v>
      </c>
    </row>
    <row r="142" spans="1:8" s="89" customFormat="1" ht="15.75">
      <c r="A142" s="43">
        <v>9</v>
      </c>
      <c r="B142" s="43" t="s">
        <v>202</v>
      </c>
      <c r="C142" s="43">
        <v>2</v>
      </c>
      <c r="D142" s="43">
        <v>1.66</v>
      </c>
      <c r="E142" s="181">
        <v>0</v>
      </c>
      <c r="F142" s="181">
        <v>0</v>
      </c>
      <c r="G142" s="181">
        <v>9.75</v>
      </c>
      <c r="H142" s="43">
        <v>0</v>
      </c>
    </row>
    <row r="143" spans="1:8" s="89" customFormat="1" ht="15.75">
      <c r="A143" s="43">
        <v>10</v>
      </c>
      <c r="B143" s="43" t="s">
        <v>200</v>
      </c>
      <c r="C143" s="43">
        <v>0</v>
      </c>
      <c r="D143" s="43">
        <v>0</v>
      </c>
      <c r="E143" s="181">
        <v>0</v>
      </c>
      <c r="F143" s="181">
        <v>0</v>
      </c>
      <c r="G143" s="181">
        <v>3539.678</v>
      </c>
      <c r="H143" s="43">
        <v>0</v>
      </c>
    </row>
    <row r="144" spans="1:8" s="89" customFormat="1" ht="15.75">
      <c r="A144" s="43">
        <v>11</v>
      </c>
      <c r="B144" s="43" t="s">
        <v>234</v>
      </c>
      <c r="C144" s="43">
        <v>0</v>
      </c>
      <c r="D144" s="43">
        <v>0</v>
      </c>
      <c r="E144" s="181">
        <v>0</v>
      </c>
      <c r="F144" s="181">
        <v>0</v>
      </c>
      <c r="G144" s="181">
        <f>2018.812+3332.379</f>
        <v>5351.191</v>
      </c>
      <c r="H144" s="43">
        <v>0</v>
      </c>
    </row>
    <row r="145" spans="1:8" s="89" customFormat="1" ht="15.75">
      <c r="A145" s="43"/>
      <c r="B145" s="43" t="s">
        <v>80</v>
      </c>
      <c r="C145" s="74">
        <f aca="true" t="shared" si="13" ref="C145:H145">SUM(C134:C144)</f>
        <v>58</v>
      </c>
      <c r="D145" s="74">
        <f t="shared" si="13"/>
        <v>179.25</v>
      </c>
      <c r="E145" s="74">
        <f t="shared" si="13"/>
        <v>16449.900999999998</v>
      </c>
      <c r="F145" s="74">
        <f t="shared" si="13"/>
        <v>6066.114</v>
      </c>
      <c r="G145" s="74">
        <f t="shared" si="13"/>
        <v>80479.561</v>
      </c>
      <c r="H145" s="74">
        <f t="shared" si="13"/>
        <v>3039</v>
      </c>
    </row>
    <row r="146" s="89" customFormat="1" ht="15.75"/>
    <row r="147" spans="1:8" ht="15.75">
      <c r="A147" s="30"/>
      <c r="B147" s="31"/>
      <c r="C147" s="32"/>
      <c r="D147" s="33" t="s">
        <v>110</v>
      </c>
      <c r="E147" s="34"/>
      <c r="F147" s="34"/>
      <c r="G147" s="34"/>
      <c r="H147" s="32"/>
    </row>
    <row r="148" spans="1:8" ht="31.5">
      <c r="A148" s="36" t="s">
        <v>3</v>
      </c>
      <c r="B148" s="38" t="s">
        <v>62</v>
      </c>
      <c r="C148" s="38" t="s">
        <v>5</v>
      </c>
      <c r="D148" s="39" t="s">
        <v>6</v>
      </c>
      <c r="E148" s="40" t="s">
        <v>7</v>
      </c>
      <c r="F148" s="41" t="s">
        <v>8</v>
      </c>
      <c r="G148" s="41" t="s">
        <v>9</v>
      </c>
      <c r="H148" s="38" t="s">
        <v>63</v>
      </c>
    </row>
    <row r="149" spans="1:8" ht="15.75">
      <c r="A149" s="21"/>
      <c r="B149" s="43"/>
      <c r="C149" s="44"/>
      <c r="D149" s="45" t="s">
        <v>11</v>
      </c>
      <c r="E149" s="46" t="s">
        <v>64</v>
      </c>
      <c r="F149" s="46" t="s">
        <v>65</v>
      </c>
      <c r="G149" s="46" t="s">
        <v>66</v>
      </c>
      <c r="H149" s="157" t="s">
        <v>15</v>
      </c>
    </row>
    <row r="150" spans="1:8" ht="15.75">
      <c r="A150" s="21">
        <v>1</v>
      </c>
      <c r="B150" s="43" t="s">
        <v>185</v>
      </c>
      <c r="C150" s="43">
        <v>0</v>
      </c>
      <c r="D150" s="43">
        <v>0</v>
      </c>
      <c r="E150" s="181">
        <v>179.9</v>
      </c>
      <c r="F150" s="181">
        <v>44.975</v>
      </c>
      <c r="G150" s="181">
        <v>1680</v>
      </c>
      <c r="H150" s="43">
        <v>400</v>
      </c>
    </row>
    <row r="151" spans="1:8" ht="15.75">
      <c r="A151" s="21">
        <v>2</v>
      </c>
      <c r="B151" s="43" t="s">
        <v>189</v>
      </c>
      <c r="C151" s="43">
        <v>0</v>
      </c>
      <c r="D151" s="43">
        <v>0</v>
      </c>
      <c r="E151" s="181">
        <v>1025</v>
      </c>
      <c r="F151" s="181">
        <v>307.65</v>
      </c>
      <c r="G151" s="181">
        <v>11699.326</v>
      </c>
      <c r="H151" s="43">
        <v>6000</v>
      </c>
    </row>
    <row r="152" spans="1:8" ht="15.75">
      <c r="A152" s="21">
        <v>3</v>
      </c>
      <c r="B152" s="43" t="s">
        <v>192</v>
      </c>
      <c r="C152" s="43">
        <v>2</v>
      </c>
      <c r="D152" s="43">
        <v>5.31</v>
      </c>
      <c r="E152" s="181">
        <v>4.375</v>
      </c>
      <c r="F152" s="181">
        <v>10.93</v>
      </c>
      <c r="G152" s="181">
        <v>672</v>
      </c>
      <c r="H152" s="43">
        <v>15</v>
      </c>
    </row>
    <row r="153" spans="1:8" ht="15.75">
      <c r="A153" s="21">
        <v>4</v>
      </c>
      <c r="B153" s="43" t="s">
        <v>193</v>
      </c>
      <c r="C153" s="43">
        <v>88</v>
      </c>
      <c r="D153" s="43">
        <v>211.65</v>
      </c>
      <c r="E153" s="181">
        <v>1280.5</v>
      </c>
      <c r="F153" s="181">
        <v>512.2</v>
      </c>
      <c r="G153" s="181">
        <v>5339.018</v>
      </c>
      <c r="H153" s="43">
        <v>500</v>
      </c>
    </row>
    <row r="154" spans="1:8" ht="15.75">
      <c r="A154" s="21">
        <v>5</v>
      </c>
      <c r="B154" s="43" t="s">
        <v>203</v>
      </c>
      <c r="C154" s="43">
        <v>1</v>
      </c>
      <c r="D154" s="43">
        <v>1</v>
      </c>
      <c r="E154" s="181">
        <v>0</v>
      </c>
      <c r="F154" s="181">
        <v>0</v>
      </c>
      <c r="G154" s="181">
        <v>35</v>
      </c>
      <c r="H154" s="43">
        <v>2</v>
      </c>
    </row>
    <row r="155" spans="1:8" ht="15.75">
      <c r="A155" s="21">
        <v>6</v>
      </c>
      <c r="B155" s="43" t="s">
        <v>79</v>
      </c>
      <c r="C155" s="43">
        <v>0</v>
      </c>
      <c r="D155" s="43">
        <v>0</v>
      </c>
      <c r="E155" s="181">
        <v>0</v>
      </c>
      <c r="F155" s="181">
        <v>0</v>
      </c>
      <c r="G155" s="181">
        <f>168.5+60</f>
        <v>228.5</v>
      </c>
      <c r="H155" s="43">
        <v>1</v>
      </c>
    </row>
    <row r="156" spans="1:8" ht="15.75">
      <c r="A156" s="196">
        <v>7</v>
      </c>
      <c r="B156" s="43" t="s">
        <v>234</v>
      </c>
      <c r="C156" s="43">
        <v>0</v>
      </c>
      <c r="D156" s="43">
        <v>0</v>
      </c>
      <c r="E156" s="181">
        <v>0</v>
      </c>
      <c r="F156" s="181">
        <v>0</v>
      </c>
      <c r="G156" s="181">
        <v>15105.5</v>
      </c>
      <c r="H156" s="43">
        <v>0</v>
      </c>
    </row>
    <row r="157" spans="1:8" ht="15.75">
      <c r="A157" s="21"/>
      <c r="B157" s="74" t="s">
        <v>80</v>
      </c>
      <c r="C157" s="126">
        <f aca="true" t="shared" si="14" ref="C157:H157">SUM(C150:C156)</f>
        <v>91</v>
      </c>
      <c r="D157" s="126">
        <f t="shared" si="14"/>
        <v>217.96</v>
      </c>
      <c r="E157" s="126">
        <f t="shared" si="14"/>
        <v>2489.775</v>
      </c>
      <c r="F157" s="126">
        <f t="shared" si="14"/>
        <v>875.7550000000001</v>
      </c>
      <c r="G157" s="126">
        <f t="shared" si="14"/>
        <v>34759.344</v>
      </c>
      <c r="H157" s="126">
        <f t="shared" si="14"/>
        <v>6918</v>
      </c>
    </row>
    <row r="158" spans="1:8" ht="15.75">
      <c r="A158" s="75"/>
      <c r="B158" s="76"/>
      <c r="C158" s="208"/>
      <c r="D158" s="208"/>
      <c r="E158" s="208"/>
      <c r="F158" s="208"/>
      <c r="G158" s="208"/>
      <c r="H158" s="208"/>
    </row>
    <row r="159" spans="1:8" ht="15.75">
      <c r="A159" s="30"/>
      <c r="B159" s="31"/>
      <c r="C159" s="32"/>
      <c r="D159" s="33" t="s">
        <v>236</v>
      </c>
      <c r="E159" s="34"/>
      <c r="F159" s="34"/>
      <c r="G159" s="34"/>
      <c r="H159" s="32"/>
    </row>
    <row r="160" spans="1:8" ht="31.5">
      <c r="A160" s="36" t="s">
        <v>3</v>
      </c>
      <c r="B160" s="38" t="s">
        <v>62</v>
      </c>
      <c r="C160" s="38" t="s">
        <v>5</v>
      </c>
      <c r="D160" s="39" t="s">
        <v>6</v>
      </c>
      <c r="E160" s="40" t="s">
        <v>7</v>
      </c>
      <c r="F160" s="41" t="s">
        <v>8</v>
      </c>
      <c r="G160" s="41" t="s">
        <v>9</v>
      </c>
      <c r="H160" s="38" t="s">
        <v>63</v>
      </c>
    </row>
    <row r="161" spans="1:8" ht="15.75">
      <c r="A161" s="21"/>
      <c r="B161" s="43"/>
      <c r="C161" s="44"/>
      <c r="D161" s="45" t="s">
        <v>11</v>
      </c>
      <c r="E161" s="46" t="s">
        <v>64</v>
      </c>
      <c r="F161" s="46" t="s">
        <v>65</v>
      </c>
      <c r="G161" s="46" t="s">
        <v>66</v>
      </c>
      <c r="H161" s="157" t="s">
        <v>15</v>
      </c>
    </row>
    <row r="162" spans="1:8" ht="15.75">
      <c r="A162" s="21">
        <v>1</v>
      </c>
      <c r="B162" s="43" t="s">
        <v>185</v>
      </c>
      <c r="C162" s="43">
        <v>0</v>
      </c>
      <c r="D162" s="43">
        <v>0</v>
      </c>
      <c r="E162" s="181">
        <v>369.625</v>
      </c>
      <c r="F162" s="181">
        <v>110.888</v>
      </c>
      <c r="G162" s="181">
        <v>3038</v>
      </c>
      <c r="H162" s="43">
        <v>300</v>
      </c>
    </row>
    <row r="163" spans="1:8" ht="15.75">
      <c r="A163" s="21">
        <f>+A162+1</f>
        <v>2</v>
      </c>
      <c r="B163" s="43" t="s">
        <v>189</v>
      </c>
      <c r="C163" s="43">
        <v>0</v>
      </c>
      <c r="D163" s="43">
        <v>0</v>
      </c>
      <c r="E163" s="181">
        <v>0</v>
      </c>
      <c r="F163" s="181">
        <v>0</v>
      </c>
      <c r="G163" s="181">
        <v>56</v>
      </c>
      <c r="H163" s="43">
        <v>0</v>
      </c>
    </row>
    <row r="164" spans="1:8" ht="15.75">
      <c r="A164" s="21">
        <f>+A163+1</f>
        <v>3</v>
      </c>
      <c r="B164" s="43" t="s">
        <v>193</v>
      </c>
      <c r="C164" s="43">
        <v>25</v>
      </c>
      <c r="D164" s="43">
        <v>551.75</v>
      </c>
      <c r="E164" s="181">
        <v>28.93</v>
      </c>
      <c r="F164" s="181">
        <v>14.465</v>
      </c>
      <c r="G164" s="181">
        <v>3792</v>
      </c>
      <c r="H164" s="43">
        <v>125</v>
      </c>
    </row>
    <row r="165" spans="1:8" ht="15.75">
      <c r="A165" s="21">
        <f>+A164+1</f>
        <v>4</v>
      </c>
      <c r="B165" s="43" t="s">
        <v>200</v>
      </c>
      <c r="C165" s="43">
        <v>147</v>
      </c>
      <c r="D165" s="43">
        <v>13198</v>
      </c>
      <c r="E165" s="181">
        <v>196.404</v>
      </c>
      <c r="F165" s="181">
        <v>746.335</v>
      </c>
      <c r="G165" s="181">
        <v>41974</v>
      </c>
      <c r="H165" s="43">
        <v>1905</v>
      </c>
    </row>
    <row r="166" spans="1:8" ht="15.75">
      <c r="A166" s="21"/>
      <c r="B166" s="74" t="s">
        <v>80</v>
      </c>
      <c r="C166" s="126">
        <f aca="true" t="shared" si="15" ref="C166:H166">SUM(C162:C165)</f>
        <v>172</v>
      </c>
      <c r="D166" s="126">
        <f t="shared" si="15"/>
        <v>13749.75</v>
      </c>
      <c r="E166" s="126">
        <f t="shared" si="15"/>
        <v>594.9590000000001</v>
      </c>
      <c r="F166" s="126">
        <f t="shared" si="15"/>
        <v>871.6880000000001</v>
      </c>
      <c r="G166" s="126">
        <f t="shared" si="15"/>
        <v>48860</v>
      </c>
      <c r="H166" s="126">
        <f t="shared" si="15"/>
        <v>2330</v>
      </c>
    </row>
    <row r="167" spans="1:8" ht="21">
      <c r="A167" s="201" t="s">
        <v>230</v>
      </c>
      <c r="B167" s="89"/>
      <c r="C167" s="90"/>
      <c r="D167" s="91"/>
      <c r="E167" s="92"/>
      <c r="F167" s="92"/>
      <c r="G167" s="92"/>
      <c r="H167" s="90"/>
    </row>
    <row r="168" spans="1:8" ht="15.75">
      <c r="A168" s="30"/>
      <c r="B168" s="31"/>
      <c r="C168" s="32"/>
      <c r="D168" s="33" t="s">
        <v>111</v>
      </c>
      <c r="E168" s="34"/>
      <c r="F168" s="34"/>
      <c r="G168" s="34"/>
      <c r="H168" s="32"/>
    </row>
    <row r="169" spans="1:8" ht="31.5">
      <c r="A169" s="36" t="s">
        <v>3</v>
      </c>
      <c r="B169" s="38" t="s">
        <v>62</v>
      </c>
      <c r="C169" s="38" t="s">
        <v>5</v>
      </c>
      <c r="D169" s="39" t="s">
        <v>6</v>
      </c>
      <c r="E169" s="40" t="s">
        <v>7</v>
      </c>
      <c r="F169" s="41" t="s">
        <v>8</v>
      </c>
      <c r="G169" s="41" t="s">
        <v>9</v>
      </c>
      <c r="H169" s="38" t="s">
        <v>63</v>
      </c>
    </row>
    <row r="170" spans="1:8" ht="15.75">
      <c r="A170" s="21"/>
      <c r="B170" s="43"/>
      <c r="C170" s="44"/>
      <c r="D170" s="45" t="s">
        <v>11</v>
      </c>
      <c r="E170" s="46" t="s">
        <v>64</v>
      </c>
      <c r="F170" s="46" t="s">
        <v>65</v>
      </c>
      <c r="G170" s="46" t="s">
        <v>66</v>
      </c>
      <c r="H170" s="157" t="s">
        <v>15</v>
      </c>
    </row>
    <row r="171" spans="1:8" ht="15.75">
      <c r="A171" s="21">
        <v>1</v>
      </c>
      <c r="B171" s="43" t="s">
        <v>189</v>
      </c>
      <c r="C171" s="43">
        <v>0</v>
      </c>
      <c r="D171" s="43">
        <v>0</v>
      </c>
      <c r="E171" s="181">
        <v>89.844</v>
      </c>
      <c r="F171" s="181">
        <v>134.766</v>
      </c>
      <c r="G171" s="181">
        <v>741.8</v>
      </c>
      <c r="H171" s="43">
        <v>100</v>
      </c>
    </row>
    <row r="172" spans="1:8" ht="15.75">
      <c r="A172" s="21">
        <f>+A171+1</f>
        <v>2</v>
      </c>
      <c r="B172" s="43" t="s">
        <v>193</v>
      </c>
      <c r="C172" s="43">
        <v>9</v>
      </c>
      <c r="D172" s="43">
        <v>9</v>
      </c>
      <c r="E172" s="181">
        <v>69.844</v>
      </c>
      <c r="F172" s="181">
        <v>34.922</v>
      </c>
      <c r="G172" s="181">
        <f>565.691</f>
        <v>565.691</v>
      </c>
      <c r="H172" s="43">
        <v>50</v>
      </c>
    </row>
    <row r="173" spans="1:8" ht="15.75">
      <c r="A173" s="21">
        <f>+A172+1</f>
        <v>3</v>
      </c>
      <c r="B173" s="43" t="s">
        <v>196</v>
      </c>
      <c r="C173" s="43">
        <v>0</v>
      </c>
      <c r="D173" s="43">
        <v>0</v>
      </c>
      <c r="E173" s="181">
        <v>14.375</v>
      </c>
      <c r="F173" s="181">
        <v>107.813</v>
      </c>
      <c r="G173" s="181">
        <v>366.31</v>
      </c>
      <c r="H173" s="43">
        <v>150</v>
      </c>
    </row>
    <row r="174" spans="1:8" ht="15.75">
      <c r="A174" s="21">
        <f>+A173+1</f>
        <v>4</v>
      </c>
      <c r="B174" s="43" t="s">
        <v>201</v>
      </c>
      <c r="C174" s="43">
        <v>116</v>
      </c>
      <c r="D174" s="43">
        <v>116.257</v>
      </c>
      <c r="E174" s="181">
        <v>151.626</v>
      </c>
      <c r="F174" s="181">
        <v>2274.39</v>
      </c>
      <c r="G174" s="181">
        <v>23793.186</v>
      </c>
      <c r="H174" s="43">
        <v>1500</v>
      </c>
    </row>
    <row r="175" spans="1:8" ht="15.75">
      <c r="A175" s="196">
        <v>5</v>
      </c>
      <c r="B175" s="43" t="s">
        <v>234</v>
      </c>
      <c r="C175" s="43">
        <v>0</v>
      </c>
      <c r="D175" s="43">
        <v>0</v>
      </c>
      <c r="E175" s="181">
        <v>0</v>
      </c>
      <c r="F175" s="181">
        <v>0</v>
      </c>
      <c r="G175" s="181">
        <v>10620.113</v>
      </c>
      <c r="H175" s="43">
        <v>0</v>
      </c>
    </row>
    <row r="176" spans="1:8" ht="15.75">
      <c r="A176" s="21"/>
      <c r="B176" s="74" t="s">
        <v>80</v>
      </c>
      <c r="C176" s="126">
        <f aca="true" t="shared" si="16" ref="C176:H176">SUM(C171:C175)</f>
        <v>125</v>
      </c>
      <c r="D176" s="126">
        <f t="shared" si="16"/>
        <v>125.257</v>
      </c>
      <c r="E176" s="126">
        <f t="shared" si="16"/>
        <v>325.68899999999996</v>
      </c>
      <c r="F176" s="126">
        <f t="shared" si="16"/>
        <v>2551.8909999999996</v>
      </c>
      <c r="G176" s="128">
        <f t="shared" si="16"/>
        <v>36087.1</v>
      </c>
      <c r="H176" s="126">
        <f t="shared" si="16"/>
        <v>1800</v>
      </c>
    </row>
    <row r="177" spans="1:8" ht="15.75">
      <c r="A177" s="75"/>
      <c r="B177" s="76"/>
      <c r="C177" s="208"/>
      <c r="D177" s="208"/>
      <c r="E177" s="208"/>
      <c r="F177" s="208"/>
      <c r="G177" s="212"/>
      <c r="H177" s="208"/>
    </row>
    <row r="178" spans="1:8" ht="15.75">
      <c r="A178" s="30"/>
      <c r="B178" s="31"/>
      <c r="C178" s="32"/>
      <c r="D178" s="33" t="s">
        <v>131</v>
      </c>
      <c r="E178" s="34"/>
      <c r="F178" s="34"/>
      <c r="G178" s="34"/>
      <c r="H178" s="32"/>
    </row>
    <row r="179" spans="1:8" ht="31.5">
      <c r="A179" s="36" t="s">
        <v>3</v>
      </c>
      <c r="B179" s="38" t="s">
        <v>62</v>
      </c>
      <c r="C179" s="38" t="s">
        <v>5</v>
      </c>
      <c r="D179" s="39" t="s">
        <v>6</v>
      </c>
      <c r="E179" s="40" t="s">
        <v>7</v>
      </c>
      <c r="F179" s="41" t="s">
        <v>8</v>
      </c>
      <c r="G179" s="41" t="s">
        <v>9</v>
      </c>
      <c r="H179" s="38" t="s">
        <v>63</v>
      </c>
    </row>
    <row r="180" spans="1:8" ht="15.75">
      <c r="A180" s="21"/>
      <c r="B180" s="43"/>
      <c r="C180" s="44"/>
      <c r="D180" s="45" t="s">
        <v>11</v>
      </c>
      <c r="E180" s="46" t="s">
        <v>64</v>
      </c>
      <c r="F180" s="46" t="s">
        <v>65</v>
      </c>
      <c r="G180" s="46" t="s">
        <v>66</v>
      </c>
      <c r="H180" s="157" t="s">
        <v>15</v>
      </c>
    </row>
    <row r="181" spans="1:8" ht="15.75">
      <c r="A181" s="21">
        <v>1</v>
      </c>
      <c r="B181" s="43" t="s">
        <v>185</v>
      </c>
      <c r="C181" s="43">
        <v>0</v>
      </c>
      <c r="D181" s="43">
        <v>0</v>
      </c>
      <c r="E181" s="181">
        <v>2656.5</v>
      </c>
      <c r="F181" s="181">
        <v>9085.23</v>
      </c>
      <c r="G181" s="181">
        <v>17035.635</v>
      </c>
      <c r="H181" s="43">
        <v>1760</v>
      </c>
    </row>
    <row r="182" spans="1:8" ht="15.75">
      <c r="A182" s="21">
        <v>2</v>
      </c>
      <c r="B182" s="43" t="s">
        <v>199</v>
      </c>
      <c r="C182" s="43">
        <v>1</v>
      </c>
      <c r="D182" s="43">
        <v>0</v>
      </c>
      <c r="E182" s="181">
        <v>0.125</v>
      </c>
      <c r="F182" s="181">
        <v>12.09</v>
      </c>
      <c r="G182" s="181">
        <v>187.5</v>
      </c>
      <c r="H182" s="43">
        <v>15</v>
      </c>
    </row>
    <row r="183" spans="1:8" ht="15.75">
      <c r="A183" s="21"/>
      <c r="B183" s="74" t="s">
        <v>80</v>
      </c>
      <c r="C183" s="126">
        <f aca="true" t="shared" si="17" ref="C183:H183">SUM(C181:C182)</f>
        <v>1</v>
      </c>
      <c r="D183" s="126">
        <f t="shared" si="17"/>
        <v>0</v>
      </c>
      <c r="E183" s="126">
        <f t="shared" si="17"/>
        <v>2656.625</v>
      </c>
      <c r="F183" s="126">
        <f t="shared" si="17"/>
        <v>9097.32</v>
      </c>
      <c r="G183" s="126">
        <f t="shared" si="17"/>
        <v>17223.135</v>
      </c>
      <c r="H183" s="126">
        <f t="shared" si="17"/>
        <v>1775</v>
      </c>
    </row>
    <row r="184" spans="2:8" ht="12.75">
      <c r="B184" s="1"/>
      <c r="C184" s="1"/>
      <c r="D184" s="1"/>
      <c r="E184" s="1"/>
      <c r="F184" s="1"/>
      <c r="G184" s="1"/>
      <c r="H184" s="1"/>
    </row>
    <row r="185" spans="1:8" ht="21">
      <c r="A185" s="201" t="s">
        <v>230</v>
      </c>
      <c r="B185" s="1"/>
      <c r="C185" s="1"/>
      <c r="D185" s="1"/>
      <c r="E185" s="1"/>
      <c r="F185" s="1"/>
      <c r="G185" s="1"/>
      <c r="H185" s="1"/>
    </row>
    <row r="186" spans="1:8" ht="15.75">
      <c r="A186" s="30"/>
      <c r="B186" s="31"/>
      <c r="C186" s="32"/>
      <c r="D186" s="33" t="s">
        <v>237</v>
      </c>
      <c r="E186" s="34"/>
      <c r="F186" s="34"/>
      <c r="G186" s="34"/>
      <c r="H186" s="32"/>
    </row>
    <row r="187" spans="1:8" ht="31.5">
      <c r="A187" s="36" t="s">
        <v>3</v>
      </c>
      <c r="B187" s="38" t="s">
        <v>62</v>
      </c>
      <c r="C187" s="38" t="s">
        <v>5</v>
      </c>
      <c r="D187" s="39" t="s">
        <v>6</v>
      </c>
      <c r="E187" s="40" t="s">
        <v>7</v>
      </c>
      <c r="F187" s="41" t="s">
        <v>8</v>
      </c>
      <c r="G187" s="41" t="s">
        <v>9</v>
      </c>
      <c r="H187" s="38" t="s">
        <v>63</v>
      </c>
    </row>
    <row r="188" spans="1:8" ht="15.75">
      <c r="A188" s="21"/>
      <c r="B188" s="43"/>
      <c r="C188" s="44"/>
      <c r="D188" s="45" t="s">
        <v>11</v>
      </c>
      <c r="E188" s="46" t="s">
        <v>64</v>
      </c>
      <c r="F188" s="46" t="s">
        <v>65</v>
      </c>
      <c r="G188" s="46" t="s">
        <v>66</v>
      </c>
      <c r="H188" s="157" t="s">
        <v>15</v>
      </c>
    </row>
    <row r="189" spans="1:8" ht="15.75">
      <c r="A189" s="21">
        <v>1</v>
      </c>
      <c r="B189" s="43" t="s">
        <v>188</v>
      </c>
      <c r="C189" s="43">
        <v>76</v>
      </c>
      <c r="D189" s="43">
        <v>201.24</v>
      </c>
      <c r="E189" s="181">
        <v>47.454</v>
      </c>
      <c r="F189" s="181">
        <v>949.08</v>
      </c>
      <c r="G189" s="181">
        <v>6169</v>
      </c>
      <c r="H189" s="43">
        <v>228</v>
      </c>
    </row>
    <row r="190" spans="1:8" ht="15.75">
      <c r="A190" s="21">
        <f>+A189+1</f>
        <v>2</v>
      </c>
      <c r="B190" s="43" t="s">
        <v>189</v>
      </c>
      <c r="C190" s="43">
        <v>0</v>
      </c>
      <c r="D190" s="43">
        <v>0</v>
      </c>
      <c r="E190" s="181">
        <f>185.75+412</f>
        <v>597.75</v>
      </c>
      <c r="F190" s="181">
        <v>477.2</v>
      </c>
      <c r="G190" s="181">
        <v>2522</v>
      </c>
      <c r="H190" s="43">
        <v>0</v>
      </c>
    </row>
    <row r="191" spans="1:8" ht="15.75">
      <c r="A191" s="21">
        <v>3</v>
      </c>
      <c r="B191" s="43" t="s">
        <v>191</v>
      </c>
      <c r="C191" s="43">
        <v>294</v>
      </c>
      <c r="D191" s="43">
        <v>295.06</v>
      </c>
      <c r="E191" s="181">
        <v>170.533</v>
      </c>
      <c r="F191" s="181">
        <v>511.6</v>
      </c>
      <c r="G191" s="181">
        <v>12289.886</v>
      </c>
      <c r="H191" s="43">
        <v>1470</v>
      </c>
    </row>
    <row r="192" spans="1:8" ht="15.75">
      <c r="A192" s="21">
        <f>+A191+1</f>
        <v>4</v>
      </c>
      <c r="B192" s="43" t="s">
        <v>192</v>
      </c>
      <c r="C192" s="43">
        <v>100</v>
      </c>
      <c r="D192" s="43">
        <v>291.42</v>
      </c>
      <c r="E192" s="181">
        <v>94.953</v>
      </c>
      <c r="F192" s="181">
        <v>569.718</v>
      </c>
      <c r="G192" s="181">
        <v>15479</v>
      </c>
      <c r="H192" s="43">
        <v>500</v>
      </c>
    </row>
    <row r="193" spans="1:8" ht="15.75">
      <c r="A193" s="21">
        <f>+A192+1</f>
        <v>5</v>
      </c>
      <c r="B193" s="43" t="s">
        <v>193</v>
      </c>
      <c r="C193" s="43">
        <v>23</v>
      </c>
      <c r="D193" s="43">
        <v>23</v>
      </c>
      <c r="E193" s="181">
        <v>661.625</v>
      </c>
      <c r="F193" s="181">
        <v>165.406</v>
      </c>
      <c r="G193" s="181">
        <v>6315.55</v>
      </c>
      <c r="H193" s="43">
        <v>70</v>
      </c>
    </row>
    <row r="194" spans="1:8" ht="15.75">
      <c r="A194" s="21">
        <f>+A193+1</f>
        <v>6</v>
      </c>
      <c r="B194" s="43" t="s">
        <v>222</v>
      </c>
      <c r="C194" s="43">
        <v>0</v>
      </c>
      <c r="D194" s="43">
        <v>0</v>
      </c>
      <c r="E194" s="181">
        <f>162.25+315.25</f>
        <v>477.5</v>
      </c>
      <c r="F194" s="181">
        <v>286.5</v>
      </c>
      <c r="G194" s="181">
        <v>2110.95</v>
      </c>
      <c r="H194" s="43">
        <v>0</v>
      </c>
    </row>
    <row r="195" spans="1:8" ht="15.75">
      <c r="A195" s="21"/>
      <c r="B195" s="74" t="s">
        <v>80</v>
      </c>
      <c r="C195" s="126">
        <f aca="true" t="shared" si="18" ref="C195:H195">SUM(C189:C194)</f>
        <v>493</v>
      </c>
      <c r="D195" s="126">
        <f t="shared" si="18"/>
        <v>810.72</v>
      </c>
      <c r="E195" s="126">
        <f t="shared" si="18"/>
        <v>2049.815</v>
      </c>
      <c r="F195" s="126">
        <f t="shared" si="18"/>
        <v>2959.504</v>
      </c>
      <c r="G195" s="126">
        <f t="shared" si="18"/>
        <v>44886.386</v>
      </c>
      <c r="H195" s="126">
        <f t="shared" si="18"/>
        <v>2268</v>
      </c>
    </row>
    <row r="196" spans="1:8" ht="21">
      <c r="A196" s="201" t="s">
        <v>230</v>
      </c>
      <c r="B196" s="68"/>
      <c r="C196" s="69"/>
      <c r="D196" s="70"/>
      <c r="E196" s="71"/>
      <c r="F196" s="71"/>
      <c r="G196" s="71"/>
      <c r="H196" s="69"/>
    </row>
    <row r="197" spans="1:8" ht="15.75">
      <c r="A197" s="30"/>
      <c r="B197" s="31"/>
      <c r="C197" s="32"/>
      <c r="D197" s="33" t="s">
        <v>238</v>
      </c>
      <c r="E197" s="34"/>
      <c r="F197" s="34"/>
      <c r="G197" s="34"/>
      <c r="H197" s="32"/>
    </row>
    <row r="198" spans="1:8" ht="31.5">
      <c r="A198" s="36" t="s">
        <v>3</v>
      </c>
      <c r="B198" s="38" t="s">
        <v>62</v>
      </c>
      <c r="C198" s="38" t="s">
        <v>5</v>
      </c>
      <c r="D198" s="39" t="s">
        <v>6</v>
      </c>
      <c r="E198" s="40" t="s">
        <v>7</v>
      </c>
      <c r="F198" s="41" t="s">
        <v>8</v>
      </c>
      <c r="G198" s="41" t="s">
        <v>9</v>
      </c>
      <c r="H198" s="38" t="s">
        <v>63</v>
      </c>
    </row>
    <row r="199" spans="1:8" ht="15.75">
      <c r="A199" s="21"/>
      <c r="B199" s="43"/>
      <c r="C199" s="44"/>
      <c r="D199" s="45" t="s">
        <v>11</v>
      </c>
      <c r="E199" s="46" t="s">
        <v>64</v>
      </c>
      <c r="F199" s="46" t="s">
        <v>65</v>
      </c>
      <c r="G199" s="46" t="s">
        <v>66</v>
      </c>
      <c r="H199" s="157" t="s">
        <v>15</v>
      </c>
    </row>
    <row r="200" spans="1:8" ht="15.75">
      <c r="A200" s="21">
        <v>1</v>
      </c>
      <c r="B200" s="43" t="s">
        <v>184</v>
      </c>
      <c r="C200" s="43">
        <v>3</v>
      </c>
      <c r="D200" s="180">
        <v>3</v>
      </c>
      <c r="E200" s="181">
        <v>0.194</v>
      </c>
      <c r="F200" s="181">
        <v>1.164</v>
      </c>
      <c r="G200" s="181">
        <v>36.205</v>
      </c>
      <c r="H200" s="43">
        <v>0</v>
      </c>
    </row>
    <row r="201" spans="1:8" ht="15.75">
      <c r="A201" s="21">
        <v>2</v>
      </c>
      <c r="B201" s="43" t="s">
        <v>186</v>
      </c>
      <c r="C201" s="43">
        <v>1</v>
      </c>
      <c r="D201" s="180">
        <v>5</v>
      </c>
      <c r="E201" s="181">
        <v>0</v>
      </c>
      <c r="F201" s="181">
        <v>0</v>
      </c>
      <c r="G201" s="181">
        <v>1.5</v>
      </c>
      <c r="H201" s="43">
        <v>0</v>
      </c>
    </row>
    <row r="202" spans="1:8" ht="15.75">
      <c r="A202" s="21">
        <v>3</v>
      </c>
      <c r="B202" s="43" t="s">
        <v>189</v>
      </c>
      <c r="C202" s="43">
        <v>0</v>
      </c>
      <c r="D202" s="180">
        <v>0</v>
      </c>
      <c r="E202" s="181">
        <v>596.555</v>
      </c>
      <c r="F202" s="181">
        <v>357.93600000000004</v>
      </c>
      <c r="G202" s="181">
        <v>5338.1359999999995</v>
      </c>
      <c r="H202" s="43">
        <v>0</v>
      </c>
    </row>
    <row r="203" spans="1:8" ht="15.75">
      <c r="A203" s="21">
        <v>4</v>
      </c>
      <c r="B203" s="43" t="s">
        <v>190</v>
      </c>
      <c r="C203" s="43">
        <v>2</v>
      </c>
      <c r="D203" s="180">
        <v>2</v>
      </c>
      <c r="E203" s="181">
        <v>1.65</v>
      </c>
      <c r="F203" s="181">
        <v>7.425</v>
      </c>
      <c r="G203" s="181">
        <v>74.675</v>
      </c>
      <c r="H203" s="43">
        <v>32</v>
      </c>
    </row>
    <row r="204" spans="1:8" ht="15.75">
      <c r="A204" s="21">
        <v>5</v>
      </c>
      <c r="B204" s="43" t="s">
        <v>191</v>
      </c>
      <c r="C204" s="43">
        <v>33</v>
      </c>
      <c r="D204" s="180">
        <v>170.89</v>
      </c>
      <c r="E204" s="181">
        <v>533.042</v>
      </c>
      <c r="F204" s="181">
        <v>3464.773</v>
      </c>
      <c r="G204" s="181">
        <v>6103.488</v>
      </c>
      <c r="H204" s="43">
        <v>364</v>
      </c>
    </row>
    <row r="205" spans="1:8" ht="15.75">
      <c r="A205" s="21">
        <v>6</v>
      </c>
      <c r="B205" s="43" t="s">
        <v>193</v>
      </c>
      <c r="C205" s="43">
        <v>7</v>
      </c>
      <c r="D205" s="180">
        <v>7</v>
      </c>
      <c r="E205" s="181">
        <v>2157.9359999999997</v>
      </c>
      <c r="F205" s="181">
        <v>1294.765</v>
      </c>
      <c r="G205" s="181">
        <v>14135.967999999999</v>
      </c>
      <c r="H205" s="43">
        <v>0</v>
      </c>
    </row>
    <row r="206" spans="1:8" ht="15.75">
      <c r="A206" s="21">
        <v>7</v>
      </c>
      <c r="B206" s="43" t="s">
        <v>222</v>
      </c>
      <c r="C206" s="43">
        <v>0</v>
      </c>
      <c r="D206" s="180">
        <v>0</v>
      </c>
      <c r="E206" s="181">
        <v>1148.916</v>
      </c>
      <c r="F206" s="181">
        <v>689.352</v>
      </c>
      <c r="G206" s="181">
        <v>5996.035</v>
      </c>
      <c r="H206" s="43">
        <v>0</v>
      </c>
    </row>
    <row r="207" spans="1:8" ht="15.75">
      <c r="A207" s="21">
        <v>8</v>
      </c>
      <c r="B207" s="43" t="s">
        <v>200</v>
      </c>
      <c r="C207" s="43">
        <v>57</v>
      </c>
      <c r="D207" s="180">
        <v>90.94</v>
      </c>
      <c r="E207" s="181">
        <v>25.471</v>
      </c>
      <c r="F207" s="181">
        <v>127.36</v>
      </c>
      <c r="G207" s="181">
        <v>3391.383</v>
      </c>
      <c r="H207" s="43">
        <v>0</v>
      </c>
    </row>
    <row r="208" spans="1:8" ht="15.75">
      <c r="A208" s="21">
        <v>9</v>
      </c>
      <c r="B208" s="43" t="s">
        <v>234</v>
      </c>
      <c r="C208" s="43">
        <v>0</v>
      </c>
      <c r="D208" s="43">
        <v>0</v>
      </c>
      <c r="E208" s="181">
        <v>0</v>
      </c>
      <c r="F208" s="181">
        <v>0</v>
      </c>
      <c r="G208" s="181">
        <v>11229.92</v>
      </c>
      <c r="H208" s="43">
        <v>0</v>
      </c>
    </row>
    <row r="209" spans="1:8" ht="15.75">
      <c r="A209" s="21"/>
      <c r="B209" s="74" t="s">
        <v>80</v>
      </c>
      <c r="C209" s="126">
        <f aca="true" t="shared" si="19" ref="C209:H209">SUM(C200:C208)</f>
        <v>103</v>
      </c>
      <c r="D209" s="126">
        <f t="shared" si="19"/>
        <v>278.83</v>
      </c>
      <c r="E209" s="126">
        <f t="shared" si="19"/>
        <v>4463.763999999999</v>
      </c>
      <c r="F209" s="126">
        <f t="shared" si="19"/>
        <v>5942.775</v>
      </c>
      <c r="G209" s="126">
        <f t="shared" si="19"/>
        <v>46307.31</v>
      </c>
      <c r="H209" s="126">
        <f t="shared" si="19"/>
        <v>396</v>
      </c>
    </row>
    <row r="210" spans="1:8" ht="15.75">
      <c r="A210" s="75"/>
      <c r="B210" s="76"/>
      <c r="C210" s="208"/>
      <c r="D210" s="211"/>
      <c r="E210" s="212"/>
      <c r="F210" s="212"/>
      <c r="G210" s="212"/>
      <c r="H210" s="208"/>
    </row>
    <row r="211" spans="1:8" ht="15.75">
      <c r="A211" s="30"/>
      <c r="B211" s="31"/>
      <c r="C211" s="32"/>
      <c r="D211" s="33" t="s">
        <v>114</v>
      </c>
      <c r="E211" s="34"/>
      <c r="F211" s="34"/>
      <c r="G211" s="34"/>
      <c r="H211" s="32"/>
    </row>
    <row r="212" spans="1:8" ht="31.5">
      <c r="A212" s="36" t="s">
        <v>3</v>
      </c>
      <c r="B212" s="38" t="s">
        <v>62</v>
      </c>
      <c r="C212" s="38" t="s">
        <v>5</v>
      </c>
      <c r="D212" s="39" t="s">
        <v>6</v>
      </c>
      <c r="E212" s="40" t="s">
        <v>7</v>
      </c>
      <c r="F212" s="41" t="s">
        <v>8</v>
      </c>
      <c r="G212" s="41" t="s">
        <v>9</v>
      </c>
      <c r="H212" s="38" t="s">
        <v>63</v>
      </c>
    </row>
    <row r="213" spans="1:8" ht="15.75">
      <c r="A213" s="21"/>
      <c r="B213" s="43"/>
      <c r="C213" s="44"/>
      <c r="D213" s="45" t="s">
        <v>11</v>
      </c>
      <c r="E213" s="46" t="s">
        <v>64</v>
      </c>
      <c r="F213" s="46" t="s">
        <v>65</v>
      </c>
      <c r="G213" s="46" t="s">
        <v>66</v>
      </c>
      <c r="H213" s="157" t="s">
        <v>15</v>
      </c>
    </row>
    <row r="214" spans="1:8" ht="15.75">
      <c r="A214" s="21">
        <v>1</v>
      </c>
      <c r="B214" s="43" t="s">
        <v>185</v>
      </c>
      <c r="C214" s="43">
        <v>0</v>
      </c>
      <c r="D214" s="43">
        <v>0</v>
      </c>
      <c r="E214" s="181">
        <f>2370.85+50.75</f>
        <v>2421.6</v>
      </c>
      <c r="F214" s="181">
        <v>633.302</v>
      </c>
      <c r="G214" s="181">
        <f>19119+4060</f>
        <v>23179</v>
      </c>
      <c r="H214" s="43">
        <v>1950</v>
      </c>
    </row>
    <row r="215" spans="1:8" ht="15.75">
      <c r="A215" s="21">
        <v>2</v>
      </c>
      <c r="B215" s="43" t="s">
        <v>188</v>
      </c>
      <c r="C215" s="43">
        <v>3</v>
      </c>
      <c r="D215" s="43">
        <v>5.88</v>
      </c>
      <c r="E215" s="181">
        <v>0.825</v>
      </c>
      <c r="F215" s="181">
        <v>2.47</v>
      </c>
      <c r="G215" s="181">
        <v>119</v>
      </c>
      <c r="H215" s="43">
        <v>5</v>
      </c>
    </row>
    <row r="216" spans="1:8" ht="15.75">
      <c r="A216" s="21">
        <v>3</v>
      </c>
      <c r="B216" s="43" t="s">
        <v>189</v>
      </c>
      <c r="C216" s="43">
        <v>0</v>
      </c>
      <c r="D216" s="43">
        <v>0</v>
      </c>
      <c r="E216" s="181">
        <v>3420.75</v>
      </c>
      <c r="F216" s="181">
        <v>2478.55</v>
      </c>
      <c r="G216" s="181">
        <f>6234.674+23242</f>
        <v>29476.674</v>
      </c>
      <c r="H216" s="43">
        <v>2000</v>
      </c>
    </row>
    <row r="217" spans="1:8" ht="15.75">
      <c r="A217" s="21">
        <v>4</v>
      </c>
      <c r="B217" s="43" t="s">
        <v>190</v>
      </c>
      <c r="C217" s="43">
        <v>14</v>
      </c>
      <c r="D217" s="43">
        <v>437.78</v>
      </c>
      <c r="E217" s="181">
        <v>55.353</v>
      </c>
      <c r="F217" s="181">
        <v>66.423</v>
      </c>
      <c r="G217" s="181">
        <v>8884</v>
      </c>
      <c r="H217" s="43">
        <v>152</v>
      </c>
    </row>
    <row r="218" spans="1:8" ht="15.75">
      <c r="A218" s="21">
        <v>5</v>
      </c>
      <c r="B218" s="43" t="s">
        <v>192</v>
      </c>
      <c r="C218" s="43">
        <v>43</v>
      </c>
      <c r="D218" s="43">
        <v>61.657</v>
      </c>
      <c r="E218" s="181">
        <v>48.993</v>
      </c>
      <c r="F218" s="181">
        <v>342.954</v>
      </c>
      <c r="G218" s="181">
        <v>713</v>
      </c>
      <c r="H218" s="43">
        <v>292</v>
      </c>
    </row>
    <row r="219" spans="1:8" ht="15.75">
      <c r="A219" s="21">
        <v>6</v>
      </c>
      <c r="B219" s="43" t="s">
        <v>193</v>
      </c>
      <c r="C219" s="43">
        <v>785</v>
      </c>
      <c r="D219" s="43">
        <f>727.55</f>
        <v>727.55</v>
      </c>
      <c r="E219" s="181">
        <v>6586.504</v>
      </c>
      <c r="F219" s="181">
        <v>2725.32</v>
      </c>
      <c r="G219" s="181">
        <v>105659.982</v>
      </c>
      <c r="H219" s="43">
        <v>4959</v>
      </c>
    </row>
    <row r="220" spans="1:8" ht="15.75">
      <c r="A220" s="21">
        <v>7</v>
      </c>
      <c r="B220" s="43" t="s">
        <v>196</v>
      </c>
      <c r="C220" s="43">
        <v>1</v>
      </c>
      <c r="D220" s="43">
        <v>124.65</v>
      </c>
      <c r="E220" s="181">
        <v>0</v>
      </c>
      <c r="F220" s="181">
        <v>0</v>
      </c>
      <c r="G220" s="181">
        <v>0</v>
      </c>
      <c r="H220" s="43">
        <v>0</v>
      </c>
    </row>
    <row r="221" spans="1:8" ht="15.75">
      <c r="A221" s="21">
        <v>8</v>
      </c>
      <c r="B221" s="43" t="s">
        <v>79</v>
      </c>
      <c r="C221" s="43">
        <v>0</v>
      </c>
      <c r="D221" s="43">
        <v>0</v>
      </c>
      <c r="E221" s="181">
        <v>0</v>
      </c>
      <c r="F221" s="181">
        <v>0</v>
      </c>
      <c r="G221" s="181">
        <f>3483-228.5</f>
        <v>3254.5</v>
      </c>
      <c r="H221" s="43">
        <v>0</v>
      </c>
    </row>
    <row r="222" spans="1:8" ht="24.75" customHeight="1">
      <c r="A222" s="196">
        <v>9</v>
      </c>
      <c r="B222" s="43" t="s">
        <v>234</v>
      </c>
      <c r="C222" s="43">
        <v>0</v>
      </c>
      <c r="D222" s="43">
        <v>0</v>
      </c>
      <c r="E222" s="181">
        <v>0</v>
      </c>
      <c r="F222" s="181">
        <v>0</v>
      </c>
      <c r="G222" s="181">
        <v>56661</v>
      </c>
      <c r="H222" s="43">
        <v>0</v>
      </c>
    </row>
    <row r="223" spans="1:8" ht="15.75">
      <c r="A223" s="21"/>
      <c r="B223" s="74" t="s">
        <v>80</v>
      </c>
      <c r="C223" s="126">
        <f aca="true" t="shared" si="20" ref="C223:H223">SUM(C214:C222)</f>
        <v>846</v>
      </c>
      <c r="D223" s="126">
        <f t="shared" si="20"/>
        <v>1357.517</v>
      </c>
      <c r="E223" s="126">
        <f t="shared" si="20"/>
        <v>12534.025</v>
      </c>
      <c r="F223" s="126">
        <f t="shared" si="20"/>
        <v>6249.019</v>
      </c>
      <c r="G223" s="126">
        <f t="shared" si="20"/>
        <v>227947.15600000002</v>
      </c>
      <c r="H223" s="126">
        <f t="shared" si="20"/>
        <v>9358</v>
      </c>
    </row>
    <row r="224" spans="1:8" ht="15.75">
      <c r="A224" s="75"/>
      <c r="B224" s="89"/>
      <c r="C224" s="90"/>
      <c r="D224" s="91"/>
      <c r="E224" s="92"/>
      <c r="F224" s="92"/>
      <c r="G224" s="92"/>
      <c r="H224" s="120"/>
    </row>
    <row r="225" spans="1:8" ht="15.75">
      <c r="A225" s="30"/>
      <c r="B225" s="31"/>
      <c r="C225" s="32"/>
      <c r="D225" s="33" t="s">
        <v>113</v>
      </c>
      <c r="E225" s="34"/>
      <c r="F225" s="34"/>
      <c r="G225" s="34"/>
      <c r="H225" s="32"/>
    </row>
    <row r="226" spans="1:8" ht="31.5">
      <c r="A226" s="36" t="s">
        <v>3</v>
      </c>
      <c r="B226" s="38" t="s">
        <v>62</v>
      </c>
      <c r="C226" s="38" t="s">
        <v>5</v>
      </c>
      <c r="D226" s="39" t="s">
        <v>6</v>
      </c>
      <c r="E226" s="40" t="s">
        <v>7</v>
      </c>
      <c r="F226" s="41" t="s">
        <v>8</v>
      </c>
      <c r="G226" s="41" t="s">
        <v>9</v>
      </c>
      <c r="H226" s="38" t="s">
        <v>63</v>
      </c>
    </row>
    <row r="227" spans="1:8" ht="15.75">
      <c r="A227" s="21"/>
      <c r="B227" s="43"/>
      <c r="C227" s="44"/>
      <c r="D227" s="45" t="s">
        <v>11</v>
      </c>
      <c r="E227" s="46" t="s">
        <v>64</v>
      </c>
      <c r="F227" s="46" t="s">
        <v>65</v>
      </c>
      <c r="G227" s="46" t="s">
        <v>66</v>
      </c>
      <c r="H227" s="157" t="s">
        <v>15</v>
      </c>
    </row>
    <row r="228" spans="1:8" ht="15.75">
      <c r="A228" s="21">
        <v>1</v>
      </c>
      <c r="B228" s="43" t="s">
        <v>188</v>
      </c>
      <c r="C228" s="43">
        <v>294</v>
      </c>
      <c r="D228" s="43">
        <v>515.66</v>
      </c>
      <c r="E228" s="181">
        <v>120.078</v>
      </c>
      <c r="F228" s="181">
        <v>600.39</v>
      </c>
      <c r="G228" s="181">
        <f>27816+253.5</f>
        <v>28069.5</v>
      </c>
      <c r="H228" s="43">
        <v>1470</v>
      </c>
    </row>
    <row r="229" spans="1:8" ht="15.75">
      <c r="A229" s="21">
        <v>2</v>
      </c>
      <c r="B229" s="43" t="s">
        <v>193</v>
      </c>
      <c r="C229" s="43">
        <v>175</v>
      </c>
      <c r="D229" s="43">
        <v>176.43</v>
      </c>
      <c r="E229" s="181">
        <v>570.705</v>
      </c>
      <c r="F229" s="181">
        <v>285.352</v>
      </c>
      <c r="G229" s="181">
        <f>14790+13.128</f>
        <v>14803.128</v>
      </c>
      <c r="H229" s="43">
        <v>875</v>
      </c>
    </row>
    <row r="230" spans="1:8" ht="15.75">
      <c r="A230" s="21">
        <v>3</v>
      </c>
      <c r="B230" s="43" t="s">
        <v>189</v>
      </c>
      <c r="C230" s="43">
        <v>0</v>
      </c>
      <c r="D230" s="43">
        <v>0</v>
      </c>
      <c r="E230" s="181">
        <v>416.875</v>
      </c>
      <c r="F230" s="181">
        <v>291.812</v>
      </c>
      <c r="G230" s="181">
        <v>3335</v>
      </c>
      <c r="H230" s="43">
        <v>0</v>
      </c>
    </row>
    <row r="231" spans="1:8" ht="15.75">
      <c r="A231" s="196">
        <v>4</v>
      </c>
      <c r="B231" s="43" t="s">
        <v>234</v>
      </c>
      <c r="C231" s="43">
        <v>0</v>
      </c>
      <c r="D231" s="43">
        <v>0</v>
      </c>
      <c r="E231" s="181">
        <v>0</v>
      </c>
      <c r="F231" s="181">
        <v>0</v>
      </c>
      <c r="G231" s="181">
        <v>9899</v>
      </c>
      <c r="H231" s="43">
        <v>0</v>
      </c>
    </row>
    <row r="232" spans="1:8" ht="15.75">
      <c r="A232" s="21"/>
      <c r="B232" s="74" t="s">
        <v>80</v>
      </c>
      <c r="C232" s="126">
        <f aca="true" t="shared" si="21" ref="C232:H232">SUM(C228:C231)</f>
        <v>469</v>
      </c>
      <c r="D232" s="126">
        <f t="shared" si="21"/>
        <v>692.0899999999999</v>
      </c>
      <c r="E232" s="126">
        <f t="shared" si="21"/>
        <v>1107.658</v>
      </c>
      <c r="F232" s="126">
        <f t="shared" si="21"/>
        <v>1177.554</v>
      </c>
      <c r="G232" s="126">
        <f t="shared" si="21"/>
        <v>56106.628</v>
      </c>
      <c r="H232" s="126">
        <f t="shared" si="21"/>
        <v>2345</v>
      </c>
    </row>
    <row r="233" spans="1:8" ht="15.75">
      <c r="A233" s="67"/>
      <c r="B233" s="68"/>
      <c r="C233" s="69"/>
      <c r="D233" s="70"/>
      <c r="E233" s="71"/>
      <c r="F233" s="71"/>
      <c r="G233" s="71"/>
      <c r="H233" s="69"/>
    </row>
    <row r="234" spans="1:8" ht="15.75">
      <c r="A234" s="30"/>
      <c r="B234" s="31"/>
      <c r="C234" s="32"/>
      <c r="D234" s="33" t="s">
        <v>116</v>
      </c>
      <c r="E234" s="34"/>
      <c r="F234" s="34"/>
      <c r="G234" s="34"/>
      <c r="H234" s="32"/>
    </row>
    <row r="235" spans="1:8" ht="31.5">
      <c r="A235" s="36" t="s">
        <v>3</v>
      </c>
      <c r="B235" s="38" t="s">
        <v>62</v>
      </c>
      <c r="C235" s="38" t="s">
        <v>5</v>
      </c>
      <c r="D235" s="39" t="s">
        <v>6</v>
      </c>
      <c r="E235" s="40" t="s">
        <v>7</v>
      </c>
      <c r="F235" s="41" t="s">
        <v>8</v>
      </c>
      <c r="G235" s="41" t="s">
        <v>9</v>
      </c>
      <c r="H235" s="38" t="s">
        <v>63</v>
      </c>
    </row>
    <row r="236" spans="1:8" ht="15.75">
      <c r="A236" s="21"/>
      <c r="B236" s="43"/>
      <c r="C236" s="44"/>
      <c r="D236" s="45" t="s">
        <v>11</v>
      </c>
      <c r="E236" s="46" t="s">
        <v>64</v>
      </c>
      <c r="F236" s="46" t="s">
        <v>65</v>
      </c>
      <c r="G236" s="46" t="s">
        <v>66</v>
      </c>
      <c r="H236" s="157" t="s">
        <v>15</v>
      </c>
    </row>
    <row r="237" spans="1:8" ht="15.75">
      <c r="A237" s="21">
        <v>1</v>
      </c>
      <c r="B237" s="43" t="s">
        <v>185</v>
      </c>
      <c r="C237" s="43">
        <v>6</v>
      </c>
      <c r="D237" s="43">
        <v>6</v>
      </c>
      <c r="E237" s="181">
        <v>0.76</v>
      </c>
      <c r="F237" s="181">
        <v>0.76</v>
      </c>
      <c r="G237" s="181">
        <v>22.29</v>
      </c>
      <c r="H237" s="43">
        <v>6</v>
      </c>
    </row>
    <row r="238" spans="1:8" ht="15.75">
      <c r="A238" s="21">
        <f>+A237+1</f>
        <v>2</v>
      </c>
      <c r="B238" s="43" t="s">
        <v>188</v>
      </c>
      <c r="C238" s="43">
        <v>20</v>
      </c>
      <c r="D238" s="43">
        <v>335.937</v>
      </c>
      <c r="E238" s="181">
        <v>7.267</v>
      </c>
      <c r="F238" s="181">
        <v>58.136</v>
      </c>
      <c r="G238" s="181">
        <v>1363.4</v>
      </c>
      <c r="H238" s="43">
        <v>60</v>
      </c>
    </row>
    <row r="239" spans="1:8" ht="15.75">
      <c r="A239" s="21">
        <v>3</v>
      </c>
      <c r="B239" s="43" t="s">
        <v>189</v>
      </c>
      <c r="C239" s="43">
        <v>0</v>
      </c>
      <c r="D239" s="43">
        <v>0</v>
      </c>
      <c r="E239" s="181">
        <v>2387.231</v>
      </c>
      <c r="F239" s="181">
        <v>1429.452</v>
      </c>
      <c r="G239" s="181">
        <v>2223.368</v>
      </c>
      <c r="H239" s="43">
        <v>975</v>
      </c>
    </row>
    <row r="240" spans="1:8" ht="15.75">
      <c r="A240" s="21">
        <f>+A239+1</f>
        <v>4</v>
      </c>
      <c r="B240" s="43" t="s">
        <v>190</v>
      </c>
      <c r="C240" s="43">
        <v>78</v>
      </c>
      <c r="D240" s="43">
        <v>1282.83</v>
      </c>
      <c r="E240" s="181">
        <v>551.179</v>
      </c>
      <c r="F240" s="181">
        <v>551.179</v>
      </c>
      <c r="G240" s="181">
        <v>32577.407</v>
      </c>
      <c r="H240" s="43">
        <v>546</v>
      </c>
    </row>
    <row r="241" spans="1:8" ht="15.75">
      <c r="A241" s="21">
        <v>5</v>
      </c>
      <c r="B241" s="43" t="s">
        <v>193</v>
      </c>
      <c r="C241" s="43">
        <v>88</v>
      </c>
      <c r="D241" s="43">
        <v>89.25</v>
      </c>
      <c r="E241" s="181">
        <v>2047.45</v>
      </c>
      <c r="F241" s="181">
        <v>1188.057</v>
      </c>
      <c r="G241" s="181">
        <v>17147.342</v>
      </c>
      <c r="H241" s="43">
        <v>5096</v>
      </c>
    </row>
    <row r="242" spans="1:8" ht="15.75">
      <c r="A242" s="21">
        <v>6</v>
      </c>
      <c r="B242" s="43" t="s">
        <v>192</v>
      </c>
      <c r="C242" s="43">
        <v>26</v>
      </c>
      <c r="D242" s="43">
        <v>88.85</v>
      </c>
      <c r="E242" s="181">
        <v>5.326</v>
      </c>
      <c r="F242" s="181">
        <v>77.228</v>
      </c>
      <c r="G242" s="181">
        <v>3356.767</v>
      </c>
      <c r="H242" s="43">
        <v>209</v>
      </c>
    </row>
    <row r="243" spans="1:8" ht="15.75">
      <c r="A243" s="21">
        <v>7</v>
      </c>
      <c r="B243" s="43" t="s">
        <v>222</v>
      </c>
      <c r="C243" s="43">
        <v>0</v>
      </c>
      <c r="D243" s="43">
        <v>0</v>
      </c>
      <c r="E243" s="181">
        <v>74.173</v>
      </c>
      <c r="F243" s="181">
        <v>437.082</v>
      </c>
      <c r="G243" s="181">
        <v>3134.796</v>
      </c>
      <c r="H243" s="43">
        <v>1277</v>
      </c>
    </row>
    <row r="244" spans="1:8" ht="15.75">
      <c r="A244" s="21">
        <v>8</v>
      </c>
      <c r="B244" s="43" t="s">
        <v>198</v>
      </c>
      <c r="C244" s="43">
        <v>89</v>
      </c>
      <c r="D244" s="43">
        <v>89</v>
      </c>
      <c r="E244" s="181">
        <v>835</v>
      </c>
      <c r="F244" s="181">
        <v>626.25</v>
      </c>
      <c r="G244" s="181">
        <v>7009.793</v>
      </c>
      <c r="H244" s="43">
        <v>630</v>
      </c>
    </row>
    <row r="245" spans="1:8" ht="15.75">
      <c r="A245" s="21">
        <v>9</v>
      </c>
      <c r="B245" s="43" t="s">
        <v>200</v>
      </c>
      <c r="C245" s="43">
        <v>37</v>
      </c>
      <c r="D245" s="43">
        <v>45</v>
      </c>
      <c r="E245" s="181">
        <v>2926.355</v>
      </c>
      <c r="F245" s="181">
        <v>8261.904999999999</v>
      </c>
      <c r="G245" s="181">
        <v>156926.98500000002</v>
      </c>
      <c r="H245" s="43">
        <v>43925</v>
      </c>
    </row>
    <row r="246" spans="1:8" ht="15.75">
      <c r="A246" s="196">
        <v>10</v>
      </c>
      <c r="B246" s="43" t="s">
        <v>234</v>
      </c>
      <c r="C246" s="43">
        <v>0</v>
      </c>
      <c r="D246" s="43">
        <v>0</v>
      </c>
      <c r="E246" s="181">
        <v>0</v>
      </c>
      <c r="F246" s="181">
        <v>0</v>
      </c>
      <c r="G246" s="181">
        <v>17898.3</v>
      </c>
      <c r="H246" s="43">
        <v>0</v>
      </c>
    </row>
    <row r="247" spans="1:8" ht="15.75">
      <c r="A247" s="21"/>
      <c r="B247" s="74" t="s">
        <v>80</v>
      </c>
      <c r="C247" s="126">
        <f aca="true" t="shared" si="22" ref="C247:H247">SUM(C237:C246)</f>
        <v>344</v>
      </c>
      <c r="D247" s="126">
        <f t="shared" si="22"/>
        <v>1936.8669999999997</v>
      </c>
      <c r="E247" s="126">
        <f t="shared" si="22"/>
        <v>8834.741</v>
      </c>
      <c r="F247" s="126">
        <f t="shared" si="22"/>
        <v>12630.048999999999</v>
      </c>
      <c r="G247" s="126">
        <f t="shared" si="22"/>
        <v>241660.448</v>
      </c>
      <c r="H247" s="126">
        <f t="shared" si="22"/>
        <v>52724</v>
      </c>
    </row>
    <row r="248" spans="1:8" ht="21">
      <c r="A248" s="201" t="s">
        <v>230</v>
      </c>
      <c r="B248" s="68"/>
      <c r="C248" s="69"/>
      <c r="D248" s="70"/>
      <c r="E248" s="71"/>
      <c r="F248" s="71"/>
      <c r="G248" s="71"/>
      <c r="H248" s="69"/>
    </row>
    <row r="249" spans="1:8" ht="15.75">
      <c r="A249" s="30"/>
      <c r="B249" s="31"/>
      <c r="C249" s="32"/>
      <c r="D249" s="33" t="s">
        <v>239</v>
      </c>
      <c r="E249" s="34"/>
      <c r="F249" s="34"/>
      <c r="G249" s="34"/>
      <c r="H249" s="32"/>
    </row>
    <row r="250" spans="1:8" ht="31.5">
      <c r="A250" s="36" t="s">
        <v>3</v>
      </c>
      <c r="B250" s="38" t="s">
        <v>62</v>
      </c>
      <c r="C250" s="38" t="s">
        <v>5</v>
      </c>
      <c r="D250" s="39" t="s">
        <v>6</v>
      </c>
      <c r="E250" s="40" t="s">
        <v>7</v>
      </c>
      <c r="F250" s="41" t="s">
        <v>8</v>
      </c>
      <c r="G250" s="41" t="s">
        <v>9</v>
      </c>
      <c r="H250" s="38" t="s">
        <v>63</v>
      </c>
    </row>
    <row r="251" spans="1:8" ht="15.75">
      <c r="A251" s="21"/>
      <c r="B251" s="43"/>
      <c r="C251" s="44"/>
      <c r="D251" s="45" t="s">
        <v>11</v>
      </c>
      <c r="E251" s="46" t="s">
        <v>64</v>
      </c>
      <c r="F251" s="46" t="s">
        <v>65</v>
      </c>
      <c r="G251" s="46" t="s">
        <v>66</v>
      </c>
      <c r="H251" s="157" t="s">
        <v>15</v>
      </c>
    </row>
    <row r="252" spans="1:8" ht="15.75">
      <c r="A252" s="110">
        <v>1</v>
      </c>
      <c r="B252" s="43" t="s">
        <v>185</v>
      </c>
      <c r="C252" s="43">
        <v>0</v>
      </c>
      <c r="D252" s="43">
        <v>0</v>
      </c>
      <c r="E252" s="181">
        <v>1091.1</v>
      </c>
      <c r="F252" s="181">
        <v>327.33</v>
      </c>
      <c r="G252" s="181">
        <v>8728.826</v>
      </c>
      <c r="H252" s="43">
        <v>1050</v>
      </c>
    </row>
    <row r="253" spans="1:8" ht="15.75">
      <c r="A253" s="110">
        <f aca="true" t="shared" si="23" ref="A253:A258">+A252+1</f>
        <v>2</v>
      </c>
      <c r="B253" s="43" t="s">
        <v>188</v>
      </c>
      <c r="C253" s="43">
        <v>20</v>
      </c>
      <c r="D253" s="43">
        <v>20</v>
      </c>
      <c r="E253" s="181">
        <v>1.193</v>
      </c>
      <c r="F253" s="181">
        <v>11.93</v>
      </c>
      <c r="G253" s="181">
        <v>516.812</v>
      </c>
      <c r="H253" s="43">
        <v>150</v>
      </c>
    </row>
    <row r="254" spans="1:8" ht="15.75">
      <c r="A254" s="110">
        <f t="shared" si="23"/>
        <v>3</v>
      </c>
      <c r="B254" s="43" t="s">
        <v>189</v>
      </c>
      <c r="C254" s="43">
        <v>0</v>
      </c>
      <c r="D254" s="43">
        <v>0</v>
      </c>
      <c r="E254" s="181">
        <v>2505.97</v>
      </c>
      <c r="F254" s="181">
        <v>2004.78</v>
      </c>
      <c r="G254" s="181">
        <v>20047.819</v>
      </c>
      <c r="H254" s="43">
        <v>0</v>
      </c>
    </row>
    <row r="255" spans="1:8" ht="15.75">
      <c r="A255" s="110">
        <f t="shared" si="23"/>
        <v>4</v>
      </c>
      <c r="B255" s="43" t="s">
        <v>190</v>
      </c>
      <c r="C255" s="43">
        <v>3</v>
      </c>
      <c r="D255" s="43">
        <v>11</v>
      </c>
      <c r="E255" s="181">
        <v>9.91</v>
      </c>
      <c r="F255" s="181">
        <v>9.91</v>
      </c>
      <c r="G255" s="181">
        <v>877.122</v>
      </c>
      <c r="H255" s="43">
        <v>5</v>
      </c>
    </row>
    <row r="256" spans="1:8" ht="15.75">
      <c r="A256" s="110">
        <f t="shared" si="23"/>
        <v>5</v>
      </c>
      <c r="B256" s="43" t="s">
        <v>192</v>
      </c>
      <c r="C256" s="43">
        <v>5</v>
      </c>
      <c r="D256" s="43">
        <v>6</v>
      </c>
      <c r="E256" s="181">
        <v>1.634</v>
      </c>
      <c r="F256" s="181">
        <v>13.072</v>
      </c>
      <c r="G256" s="181">
        <v>185.386</v>
      </c>
      <c r="H256" s="43">
        <v>10</v>
      </c>
    </row>
    <row r="257" spans="1:8" ht="15.75">
      <c r="A257" s="110">
        <f t="shared" si="23"/>
        <v>6</v>
      </c>
      <c r="B257" s="43" t="s">
        <v>193</v>
      </c>
      <c r="C257" s="43">
        <v>202</v>
      </c>
      <c r="D257" s="43">
        <v>202</v>
      </c>
      <c r="E257" s="181">
        <v>4752.674</v>
      </c>
      <c r="F257" s="181">
        <v>1901.069</v>
      </c>
      <c r="G257" s="181">
        <v>34362.2</v>
      </c>
      <c r="H257" s="43">
        <v>2540</v>
      </c>
    </row>
    <row r="258" spans="1:8" ht="15.75">
      <c r="A258" s="110">
        <f t="shared" si="23"/>
        <v>7</v>
      </c>
      <c r="B258" s="43" t="s">
        <v>196</v>
      </c>
      <c r="C258" s="43">
        <v>1</v>
      </c>
      <c r="D258" s="43">
        <v>1</v>
      </c>
      <c r="E258" s="181">
        <v>0.038</v>
      </c>
      <c r="F258" s="181">
        <v>0.038</v>
      </c>
      <c r="G258" s="181">
        <v>14.513</v>
      </c>
      <c r="H258" s="43">
        <v>5</v>
      </c>
    </row>
    <row r="259" spans="1:8" ht="15.75">
      <c r="A259" s="110">
        <v>8</v>
      </c>
      <c r="B259" s="43" t="s">
        <v>197</v>
      </c>
      <c r="C259" s="43">
        <v>5</v>
      </c>
      <c r="D259" s="43">
        <v>5</v>
      </c>
      <c r="E259" s="181">
        <v>0.03</v>
      </c>
      <c r="F259" s="181">
        <v>0.045</v>
      </c>
      <c r="G259" s="181">
        <v>199.604</v>
      </c>
      <c r="H259" s="43">
        <v>10</v>
      </c>
    </row>
    <row r="260" spans="1:8" ht="15.75">
      <c r="A260" s="196">
        <v>9</v>
      </c>
      <c r="B260" s="43" t="s">
        <v>234</v>
      </c>
      <c r="C260" s="43">
        <v>0</v>
      </c>
      <c r="D260" s="43">
        <v>0</v>
      </c>
      <c r="E260" s="181">
        <v>0</v>
      </c>
      <c r="F260" s="181">
        <v>0</v>
      </c>
      <c r="G260" s="181">
        <v>2515</v>
      </c>
      <c r="H260" s="43">
        <v>0</v>
      </c>
    </row>
    <row r="261" spans="1:8" ht="15.75">
      <c r="A261" s="21"/>
      <c r="B261" s="74" t="s">
        <v>80</v>
      </c>
      <c r="C261" s="126">
        <f aca="true" t="shared" si="24" ref="C261:H261">SUM(C252:C260)</f>
        <v>236</v>
      </c>
      <c r="D261" s="127">
        <f t="shared" si="24"/>
        <v>245</v>
      </c>
      <c r="E261" s="126">
        <f t="shared" si="24"/>
        <v>8362.549</v>
      </c>
      <c r="F261" s="126">
        <f t="shared" si="24"/>
        <v>4268.174</v>
      </c>
      <c r="G261" s="126">
        <f t="shared" si="24"/>
        <v>67447.28199999999</v>
      </c>
      <c r="H261" s="126">
        <f t="shared" si="24"/>
        <v>3770</v>
      </c>
    </row>
    <row r="262" spans="1:8" ht="15.75">
      <c r="A262" s="75"/>
      <c r="B262" s="89"/>
      <c r="C262" s="90"/>
      <c r="D262" s="91"/>
      <c r="E262" s="92"/>
      <c r="F262" s="92"/>
      <c r="G262" s="92"/>
      <c r="H262" s="90"/>
    </row>
    <row r="263" spans="1:8" ht="15.75">
      <c r="A263" s="30"/>
      <c r="B263" s="31"/>
      <c r="C263" s="32"/>
      <c r="D263" s="33" t="s">
        <v>124</v>
      </c>
      <c r="E263" s="34"/>
      <c r="F263" s="34"/>
      <c r="G263" s="34"/>
      <c r="H263" s="32"/>
    </row>
    <row r="264" spans="1:8" ht="31.5">
      <c r="A264" s="36" t="s">
        <v>3</v>
      </c>
      <c r="B264" s="38" t="s">
        <v>62</v>
      </c>
      <c r="C264" s="38" t="s">
        <v>5</v>
      </c>
      <c r="D264" s="39" t="s">
        <v>6</v>
      </c>
      <c r="E264" s="40" t="s">
        <v>7</v>
      </c>
      <c r="F264" s="41" t="s">
        <v>8</v>
      </c>
      <c r="G264" s="41" t="s">
        <v>9</v>
      </c>
      <c r="H264" s="38" t="s">
        <v>63</v>
      </c>
    </row>
    <row r="265" spans="1:8" ht="15.75">
      <c r="A265" s="21"/>
      <c r="B265" s="43"/>
      <c r="C265" s="44"/>
      <c r="D265" s="45" t="s">
        <v>11</v>
      </c>
      <c r="E265" s="46" t="s">
        <v>64</v>
      </c>
      <c r="F265" s="46" t="s">
        <v>65</v>
      </c>
      <c r="G265" s="46" t="s">
        <v>66</v>
      </c>
      <c r="H265" s="157" t="s">
        <v>15</v>
      </c>
    </row>
    <row r="266" spans="1:8" ht="15.75">
      <c r="A266" s="21">
        <v>1</v>
      </c>
      <c r="B266" s="43" t="s">
        <v>185</v>
      </c>
      <c r="C266" s="43">
        <v>0</v>
      </c>
      <c r="D266" s="43">
        <v>0</v>
      </c>
      <c r="E266" s="181">
        <v>150</v>
      </c>
      <c r="F266" s="181">
        <v>60</v>
      </c>
      <c r="G266" s="181">
        <v>57</v>
      </c>
      <c r="H266" s="43">
        <v>30</v>
      </c>
    </row>
    <row r="267" spans="1:8" ht="15.75">
      <c r="A267" s="21"/>
      <c r="B267" s="43" t="s">
        <v>226</v>
      </c>
      <c r="C267" s="43">
        <v>1</v>
      </c>
      <c r="D267" s="43">
        <v>1</v>
      </c>
      <c r="E267" s="181">
        <v>3.909</v>
      </c>
      <c r="F267" s="181">
        <v>3.909</v>
      </c>
      <c r="G267" s="181">
        <v>43</v>
      </c>
      <c r="H267" s="43">
        <v>7</v>
      </c>
    </row>
    <row r="268" spans="1:8" ht="15.75">
      <c r="A268" s="21">
        <v>2</v>
      </c>
      <c r="B268" s="43" t="s">
        <v>189</v>
      </c>
      <c r="C268" s="43">
        <v>0</v>
      </c>
      <c r="D268" s="43">
        <v>0</v>
      </c>
      <c r="E268" s="181">
        <v>44.405</v>
      </c>
      <c r="F268" s="181">
        <v>31.084</v>
      </c>
      <c r="G268" s="181">
        <v>3784</v>
      </c>
      <c r="H268" s="43">
        <v>20</v>
      </c>
    </row>
    <row r="269" spans="1:8" ht="15.75">
      <c r="A269" s="21">
        <f>+A268+1</f>
        <v>3</v>
      </c>
      <c r="B269" s="43" t="s">
        <v>193</v>
      </c>
      <c r="C269" s="43">
        <v>87</v>
      </c>
      <c r="D269" s="43">
        <v>189.28</v>
      </c>
      <c r="E269" s="181">
        <v>274.531</v>
      </c>
      <c r="F269" s="181">
        <v>192.172</v>
      </c>
      <c r="G269" s="181">
        <f>7353</f>
        <v>7353</v>
      </c>
      <c r="H269" s="43">
        <v>330</v>
      </c>
    </row>
    <row r="270" spans="1:8" ht="15.75">
      <c r="A270" s="21">
        <f>+A269+1</f>
        <v>4</v>
      </c>
      <c r="B270" s="43" t="s">
        <v>194</v>
      </c>
      <c r="C270" s="43">
        <v>5</v>
      </c>
      <c r="D270" s="43">
        <v>106.69</v>
      </c>
      <c r="E270" s="181">
        <v>1.667</v>
      </c>
      <c r="F270" s="181">
        <v>4.695</v>
      </c>
      <c r="G270" s="181">
        <v>70</v>
      </c>
      <c r="H270" s="43">
        <v>10</v>
      </c>
    </row>
    <row r="271" spans="1:8" ht="15.75">
      <c r="A271" s="21">
        <f>+A270+1</f>
        <v>5</v>
      </c>
      <c r="B271" s="43" t="s">
        <v>200</v>
      </c>
      <c r="C271" s="43">
        <v>175</v>
      </c>
      <c r="D271" s="43">
        <v>12262.581</v>
      </c>
      <c r="E271" s="181">
        <v>353.022</v>
      </c>
      <c r="F271" s="181">
        <v>988.462</v>
      </c>
      <c r="G271" s="181">
        <f>45147-97</f>
        <v>45050</v>
      </c>
      <c r="H271" s="43">
        <v>12000</v>
      </c>
    </row>
    <row r="272" spans="1:8" ht="15.75">
      <c r="A272" s="21">
        <f>+A271+1</f>
        <v>6</v>
      </c>
      <c r="B272" s="43" t="s">
        <v>222</v>
      </c>
      <c r="C272" s="43">
        <v>0</v>
      </c>
      <c r="D272" s="43">
        <v>0</v>
      </c>
      <c r="E272" s="181">
        <v>263.204</v>
      </c>
      <c r="F272" s="181">
        <v>184.24</v>
      </c>
      <c r="G272" s="181">
        <v>3331</v>
      </c>
      <c r="H272" s="43">
        <v>0</v>
      </c>
    </row>
    <row r="273" spans="1:8" ht="15.75">
      <c r="A273" s="21">
        <v>7</v>
      </c>
      <c r="B273" s="43" t="s">
        <v>79</v>
      </c>
      <c r="C273" s="43">
        <v>0</v>
      </c>
      <c r="D273" s="43">
        <v>0</v>
      </c>
      <c r="E273" s="181">
        <v>0</v>
      </c>
      <c r="F273" s="181">
        <v>0</v>
      </c>
      <c r="G273" s="181">
        <v>254</v>
      </c>
      <c r="H273" s="43">
        <v>0</v>
      </c>
    </row>
    <row r="274" spans="1:8" ht="15.75">
      <c r="A274" s="21"/>
      <c r="B274" s="74" t="s">
        <v>80</v>
      </c>
      <c r="C274" s="126">
        <f aca="true" t="shared" si="25" ref="C274:H274">SUM(C266:C273)</f>
        <v>268</v>
      </c>
      <c r="D274" s="126">
        <f t="shared" si="25"/>
        <v>12559.551</v>
      </c>
      <c r="E274" s="126">
        <f t="shared" si="25"/>
        <v>1090.738</v>
      </c>
      <c r="F274" s="126">
        <f t="shared" si="25"/>
        <v>1464.562</v>
      </c>
      <c r="G274" s="128">
        <f t="shared" si="25"/>
        <v>59942</v>
      </c>
      <c r="H274" s="126">
        <f t="shared" si="25"/>
        <v>12397</v>
      </c>
    </row>
    <row r="275" spans="1:8" ht="21">
      <c r="A275" s="201" t="s">
        <v>230</v>
      </c>
      <c r="B275" s="68"/>
      <c r="C275" s="69"/>
      <c r="D275" s="70"/>
      <c r="E275" s="71"/>
      <c r="F275" s="71"/>
      <c r="G275" s="71"/>
      <c r="H275" s="69"/>
    </row>
    <row r="276" spans="1:8" ht="15.75">
      <c r="A276" s="30"/>
      <c r="B276" s="31"/>
      <c r="C276" s="32"/>
      <c r="D276" s="33" t="s">
        <v>125</v>
      </c>
      <c r="E276" s="34"/>
      <c r="F276" s="34"/>
      <c r="G276" s="34"/>
      <c r="H276" s="32"/>
    </row>
    <row r="277" spans="1:8" ht="31.5">
      <c r="A277" s="36" t="s">
        <v>3</v>
      </c>
      <c r="B277" s="38" t="s">
        <v>62</v>
      </c>
      <c r="C277" s="38" t="s">
        <v>5</v>
      </c>
      <c r="D277" s="39" t="s">
        <v>6</v>
      </c>
      <c r="E277" s="40" t="s">
        <v>7</v>
      </c>
      <c r="F277" s="41" t="s">
        <v>8</v>
      </c>
      <c r="G277" s="41" t="s">
        <v>9</v>
      </c>
      <c r="H277" s="38" t="s">
        <v>63</v>
      </c>
    </row>
    <row r="278" spans="1:8" ht="15.75">
      <c r="A278" s="21"/>
      <c r="B278" s="43"/>
      <c r="C278" s="44"/>
      <c r="D278" s="45" t="s">
        <v>11</v>
      </c>
      <c r="E278" s="46" t="s">
        <v>64</v>
      </c>
      <c r="F278" s="46" t="s">
        <v>65</v>
      </c>
      <c r="G278" s="46" t="s">
        <v>66</v>
      </c>
      <c r="H278" s="157" t="s">
        <v>15</v>
      </c>
    </row>
    <row r="279" spans="1:8" ht="15.75">
      <c r="A279" s="21">
        <v>1</v>
      </c>
      <c r="B279" s="43" t="s">
        <v>189</v>
      </c>
      <c r="C279" s="43">
        <v>0</v>
      </c>
      <c r="D279" s="43">
        <v>0</v>
      </c>
      <c r="E279" s="181">
        <f>488.798+325</f>
        <v>813.798</v>
      </c>
      <c r="F279" s="181">
        <f>342.158+162.5</f>
        <v>504.658</v>
      </c>
      <c r="G279" s="181">
        <f>6524.454+3106</f>
        <v>9630.454</v>
      </c>
      <c r="H279" s="43">
        <v>75</v>
      </c>
    </row>
    <row r="280" spans="1:8" ht="15.75">
      <c r="A280" s="21">
        <v>2</v>
      </c>
      <c r="B280" s="43" t="s">
        <v>191</v>
      </c>
      <c r="C280" s="43">
        <v>47</v>
      </c>
      <c r="D280" s="43">
        <v>1921.71</v>
      </c>
      <c r="E280" s="181">
        <v>2660.435</v>
      </c>
      <c r="F280" s="181">
        <v>18623.048</v>
      </c>
      <c r="G280" s="181">
        <v>221726</v>
      </c>
      <c r="H280" s="43">
        <v>4364</v>
      </c>
    </row>
    <row r="281" spans="1:8" ht="15.75">
      <c r="A281" s="21">
        <v>3</v>
      </c>
      <c r="B281" s="43" t="s">
        <v>193</v>
      </c>
      <c r="C281" s="43">
        <f>17+6</f>
        <v>23</v>
      </c>
      <c r="D281" s="43">
        <v>31.17</v>
      </c>
      <c r="E281" s="181">
        <f>1310.558+6.345+559.517+29.001</f>
        <v>1905.421</v>
      </c>
      <c r="F281" s="181">
        <f>1048.45+2.031+824.281-0.142</f>
        <v>1874.62</v>
      </c>
      <c r="G281" s="181">
        <f>376.258+812</f>
        <v>1188.258</v>
      </c>
      <c r="H281" s="43">
        <v>83</v>
      </c>
    </row>
    <row r="282" spans="1:8" ht="15.75">
      <c r="A282" s="21">
        <v>4</v>
      </c>
      <c r="B282" s="43" t="s">
        <v>222</v>
      </c>
      <c r="C282" s="43">
        <v>0</v>
      </c>
      <c r="D282" s="43">
        <v>0</v>
      </c>
      <c r="E282" s="181">
        <f>8803.634-813.831+159.716</f>
        <v>8149.519</v>
      </c>
      <c r="F282" s="181">
        <f>2865.66-929.665+79.099</f>
        <v>2015.0939999999998</v>
      </c>
      <c r="G282" s="181">
        <f>226.935+8272.976</f>
        <v>8499.911</v>
      </c>
      <c r="H282" s="43">
        <v>37</v>
      </c>
    </row>
    <row r="283" spans="1:8" ht="15.75">
      <c r="A283" s="21">
        <v>5</v>
      </c>
      <c r="B283" s="43" t="s">
        <v>200</v>
      </c>
      <c r="C283" s="43">
        <f>10+9</f>
        <v>19</v>
      </c>
      <c r="D283" s="43">
        <f>7.28+6.69</f>
        <v>13.97</v>
      </c>
      <c r="E283" s="181">
        <f>3.683+0.925</f>
        <v>4.608</v>
      </c>
      <c r="F283" s="181">
        <f>31.305+9.25</f>
        <v>40.555</v>
      </c>
      <c r="G283" s="181">
        <f>206.731+73</f>
        <v>279.731</v>
      </c>
      <c r="H283" s="43">
        <f>93+19</f>
        <v>112</v>
      </c>
    </row>
    <row r="284" spans="1:8" ht="15.75">
      <c r="A284" s="196">
        <v>6</v>
      </c>
      <c r="B284" s="43" t="s">
        <v>234</v>
      </c>
      <c r="C284" s="43">
        <v>0</v>
      </c>
      <c r="D284" s="43">
        <v>0</v>
      </c>
      <c r="E284" s="181">
        <v>0</v>
      </c>
      <c r="F284" s="181">
        <v>0</v>
      </c>
      <c r="G284" s="181">
        <v>60835.362</v>
      </c>
      <c r="H284" s="43">
        <v>0</v>
      </c>
    </row>
    <row r="285" spans="1:8" ht="15.75">
      <c r="A285" s="21"/>
      <c r="B285" s="74" t="s">
        <v>80</v>
      </c>
      <c r="C285" s="126">
        <f aca="true" t="shared" si="26" ref="C285:H285">SUM(C279:C284)</f>
        <v>89</v>
      </c>
      <c r="D285" s="126">
        <f t="shared" si="26"/>
        <v>1966.8500000000001</v>
      </c>
      <c r="E285" s="126">
        <f t="shared" si="26"/>
        <v>13533.781</v>
      </c>
      <c r="F285" s="126">
        <f t="shared" si="26"/>
        <v>23057.975</v>
      </c>
      <c r="G285" s="126">
        <f t="shared" si="26"/>
        <v>302159.716</v>
      </c>
      <c r="H285" s="126">
        <f t="shared" si="26"/>
        <v>4671</v>
      </c>
    </row>
    <row r="286" spans="1:8" ht="21">
      <c r="A286" s="201" t="s">
        <v>230</v>
      </c>
      <c r="B286" s="89"/>
      <c r="C286" s="90"/>
      <c r="D286" s="91"/>
      <c r="E286" s="92"/>
      <c r="F286" s="92"/>
      <c r="G286" s="92"/>
      <c r="H286" s="90"/>
    </row>
    <row r="287" spans="1:8" ht="15.75">
      <c r="A287" s="30"/>
      <c r="B287" s="31"/>
      <c r="C287" s="32"/>
      <c r="D287" s="33" t="s">
        <v>240</v>
      </c>
      <c r="E287" s="34"/>
      <c r="F287" s="34"/>
      <c r="G287" s="34"/>
      <c r="H287" s="32"/>
    </row>
    <row r="288" spans="1:8" ht="31.5">
      <c r="A288" s="36" t="s">
        <v>3</v>
      </c>
      <c r="B288" s="38" t="s">
        <v>62</v>
      </c>
      <c r="C288" s="38" t="s">
        <v>5</v>
      </c>
      <c r="D288" s="39" t="s">
        <v>6</v>
      </c>
      <c r="E288" s="40" t="s">
        <v>7</v>
      </c>
      <c r="F288" s="41" t="s">
        <v>8</v>
      </c>
      <c r="G288" s="41" t="s">
        <v>9</v>
      </c>
      <c r="H288" s="38" t="s">
        <v>63</v>
      </c>
    </row>
    <row r="289" spans="1:8" ht="15.75">
      <c r="A289" s="21"/>
      <c r="B289" s="43"/>
      <c r="C289" s="44"/>
      <c r="D289" s="45" t="s">
        <v>11</v>
      </c>
      <c r="E289" s="46" t="s">
        <v>64</v>
      </c>
      <c r="F289" s="46" t="s">
        <v>65</v>
      </c>
      <c r="G289" s="46" t="s">
        <v>66</v>
      </c>
      <c r="H289" s="157" t="s">
        <v>15</v>
      </c>
    </row>
    <row r="290" spans="1:8" ht="15.75">
      <c r="A290" s="21">
        <v>1</v>
      </c>
      <c r="B290" s="43" t="s">
        <v>185</v>
      </c>
      <c r="C290" s="54">
        <v>0</v>
      </c>
      <c r="D290" s="58">
        <v>0</v>
      </c>
      <c r="E290" s="56">
        <v>0.5</v>
      </c>
      <c r="F290" s="56">
        <v>0.75</v>
      </c>
      <c r="G290" s="56">
        <v>26.2</v>
      </c>
      <c r="H290" s="54">
        <v>2</v>
      </c>
    </row>
    <row r="291" spans="1:8" ht="15.75">
      <c r="A291" s="21">
        <v>2</v>
      </c>
      <c r="B291" s="43" t="s">
        <v>189</v>
      </c>
      <c r="C291" s="43">
        <v>0</v>
      </c>
      <c r="D291" s="180">
        <v>0</v>
      </c>
      <c r="E291" s="181">
        <v>362.585</v>
      </c>
      <c r="F291" s="181">
        <v>90.64</v>
      </c>
      <c r="G291" s="181">
        <v>2889.718</v>
      </c>
      <c r="H291" s="43">
        <v>255</v>
      </c>
    </row>
    <row r="292" spans="1:8" ht="15.75">
      <c r="A292" s="21">
        <v>3</v>
      </c>
      <c r="B292" s="43" t="s">
        <v>190</v>
      </c>
      <c r="C292" s="43">
        <v>104</v>
      </c>
      <c r="D292" s="180">
        <v>8750.54</v>
      </c>
      <c r="E292" s="181">
        <v>2127.321</v>
      </c>
      <c r="F292" s="181">
        <v>3394.865</v>
      </c>
      <c r="G292" s="181">
        <v>123220.222</v>
      </c>
      <c r="H292" s="43">
        <v>1270</v>
      </c>
    </row>
    <row r="293" spans="1:8" ht="15.75">
      <c r="A293" s="21">
        <v>4</v>
      </c>
      <c r="B293" s="43" t="s">
        <v>192</v>
      </c>
      <c r="C293" s="43">
        <v>0</v>
      </c>
      <c r="D293" s="180">
        <v>0</v>
      </c>
      <c r="E293" s="181">
        <v>711.476</v>
      </c>
      <c r="F293" s="181">
        <v>4936.368</v>
      </c>
      <c r="G293" s="181">
        <v>176691</v>
      </c>
      <c r="H293" s="43">
        <v>6000</v>
      </c>
    </row>
    <row r="294" spans="1:8" ht="15.75">
      <c r="A294" s="21">
        <v>5</v>
      </c>
      <c r="B294" s="43" t="s">
        <v>193</v>
      </c>
      <c r="C294" s="43">
        <v>300</v>
      </c>
      <c r="D294" s="180">
        <v>291.485</v>
      </c>
      <c r="E294" s="181">
        <v>1291.4</v>
      </c>
      <c r="F294" s="181">
        <v>480.365</v>
      </c>
      <c r="G294" s="181">
        <v>14063.118</v>
      </c>
      <c r="H294" s="43">
        <v>3736</v>
      </c>
    </row>
    <row r="295" spans="1:8" ht="15.75">
      <c r="A295" s="21">
        <v>6</v>
      </c>
      <c r="B295" s="43" t="s">
        <v>200</v>
      </c>
      <c r="C295" s="43">
        <v>0</v>
      </c>
      <c r="D295" s="180">
        <v>0</v>
      </c>
      <c r="E295" s="181">
        <v>65</v>
      </c>
      <c r="F295" s="181">
        <v>325</v>
      </c>
      <c r="G295" s="181">
        <v>6401</v>
      </c>
      <c r="H295" s="43">
        <v>240</v>
      </c>
    </row>
    <row r="296" spans="1:8" ht="15.75">
      <c r="A296" s="21">
        <v>7</v>
      </c>
      <c r="B296" s="43" t="s">
        <v>234</v>
      </c>
      <c r="C296" s="43">
        <v>0</v>
      </c>
      <c r="D296" s="180">
        <v>0</v>
      </c>
      <c r="E296" s="181">
        <v>0</v>
      </c>
      <c r="F296" s="181">
        <v>0</v>
      </c>
      <c r="G296" s="181">
        <f>8660+3014.203</f>
        <v>11674.203</v>
      </c>
      <c r="H296" s="43">
        <v>0</v>
      </c>
    </row>
    <row r="297" spans="1:8" ht="15.75">
      <c r="A297" s="21"/>
      <c r="B297" s="74" t="s">
        <v>80</v>
      </c>
      <c r="C297" s="126">
        <f aca="true" t="shared" si="27" ref="C297:H297">SUM(C290:C296)</f>
        <v>404</v>
      </c>
      <c r="D297" s="126">
        <f t="shared" si="27"/>
        <v>9042.025000000001</v>
      </c>
      <c r="E297" s="126">
        <f t="shared" si="27"/>
        <v>4558.282</v>
      </c>
      <c r="F297" s="126">
        <f t="shared" si="27"/>
        <v>9227.988</v>
      </c>
      <c r="G297" s="126">
        <f t="shared" si="27"/>
        <v>334965.461</v>
      </c>
      <c r="H297" s="126">
        <f t="shared" si="27"/>
        <v>11503</v>
      </c>
    </row>
    <row r="298" spans="2:8" ht="12.75">
      <c r="B298" s="1"/>
      <c r="C298" s="1"/>
      <c r="D298" s="1"/>
      <c r="E298" s="1"/>
      <c r="F298" s="1"/>
      <c r="G298" s="1"/>
      <c r="H298" s="1"/>
    </row>
    <row r="299" spans="1:8" ht="15.75">
      <c r="A299" s="30"/>
      <c r="B299" s="31"/>
      <c r="C299" s="32"/>
      <c r="D299" s="33" t="s">
        <v>130</v>
      </c>
      <c r="E299" s="34"/>
      <c r="F299" s="34"/>
      <c r="G299" s="34"/>
      <c r="H299" s="32"/>
    </row>
    <row r="300" spans="1:8" ht="26.25" customHeight="1">
      <c r="A300" s="36" t="s">
        <v>3</v>
      </c>
      <c r="B300" s="38" t="s">
        <v>62</v>
      </c>
      <c r="C300" s="38" t="s">
        <v>5</v>
      </c>
      <c r="D300" s="39" t="s">
        <v>6</v>
      </c>
      <c r="E300" s="40" t="s">
        <v>7</v>
      </c>
      <c r="F300" s="41" t="s">
        <v>8</v>
      </c>
      <c r="G300" s="41" t="s">
        <v>9</v>
      </c>
      <c r="H300" s="38" t="s">
        <v>63</v>
      </c>
    </row>
    <row r="301" spans="1:8" ht="15.75">
      <c r="A301" s="21"/>
      <c r="B301" s="43"/>
      <c r="C301" s="44"/>
      <c r="D301" s="45" t="s">
        <v>11</v>
      </c>
      <c r="E301" s="46" t="s">
        <v>64</v>
      </c>
      <c r="F301" s="46" t="s">
        <v>65</v>
      </c>
      <c r="G301" s="46" t="s">
        <v>66</v>
      </c>
      <c r="H301" s="157" t="s">
        <v>15</v>
      </c>
    </row>
    <row r="302" spans="1:8" ht="15.75">
      <c r="A302" s="21">
        <v>1</v>
      </c>
      <c r="B302" s="43" t="s">
        <v>188</v>
      </c>
      <c r="C302" s="43">
        <v>34</v>
      </c>
      <c r="D302" s="180">
        <v>53</v>
      </c>
      <c r="E302" s="181">
        <v>12.611</v>
      </c>
      <c r="F302" s="181">
        <v>138.721</v>
      </c>
      <c r="G302" s="181">
        <v>1265.387</v>
      </c>
      <c r="H302" s="43">
        <v>238</v>
      </c>
    </row>
    <row r="303" spans="1:8" ht="15.75">
      <c r="A303" s="21">
        <v>2</v>
      </c>
      <c r="B303" s="43" t="s">
        <v>189</v>
      </c>
      <c r="C303" s="43">
        <v>0</v>
      </c>
      <c r="D303" s="180">
        <v>0</v>
      </c>
      <c r="E303" s="181">
        <v>196.201</v>
      </c>
      <c r="F303" s="181">
        <v>107.911</v>
      </c>
      <c r="G303" s="181">
        <v>1569.608</v>
      </c>
      <c r="H303" s="43">
        <v>0</v>
      </c>
    </row>
    <row r="304" spans="1:8" ht="15.75">
      <c r="A304" s="21">
        <v>3</v>
      </c>
      <c r="B304" s="43" t="s">
        <v>185</v>
      </c>
      <c r="C304" s="43">
        <v>0</v>
      </c>
      <c r="D304" s="180">
        <v>0</v>
      </c>
      <c r="E304" s="181">
        <f>894.807+2.7</f>
        <v>897.5070000000001</v>
      </c>
      <c r="F304" s="181">
        <v>492.144</v>
      </c>
      <c r="G304" s="181">
        <f>243.5+159.98</f>
        <v>403.48</v>
      </c>
      <c r="H304" s="43"/>
    </row>
    <row r="305" spans="1:8" ht="15.75">
      <c r="A305" s="21">
        <v>4</v>
      </c>
      <c r="B305" s="43" t="s">
        <v>190</v>
      </c>
      <c r="C305" s="43">
        <v>31</v>
      </c>
      <c r="D305" s="180">
        <v>2450.27</v>
      </c>
      <c r="E305" s="181">
        <v>314.157</v>
      </c>
      <c r="F305" s="181">
        <v>270.175</v>
      </c>
      <c r="G305" s="181">
        <v>14142.949</v>
      </c>
      <c r="H305" s="43">
        <v>186</v>
      </c>
    </row>
    <row r="306" spans="1:8" ht="15.75">
      <c r="A306" s="21">
        <v>5</v>
      </c>
      <c r="B306" s="43" t="s">
        <v>192</v>
      </c>
      <c r="C306" s="43">
        <v>8</v>
      </c>
      <c r="D306" s="180">
        <v>13</v>
      </c>
      <c r="E306" s="181">
        <v>0</v>
      </c>
      <c r="F306" s="181">
        <v>0</v>
      </c>
      <c r="G306" s="181">
        <v>216.137</v>
      </c>
      <c r="H306" s="43">
        <v>16</v>
      </c>
    </row>
    <row r="307" spans="1:8" ht="15.75">
      <c r="A307" s="21">
        <v>6</v>
      </c>
      <c r="B307" s="43" t="s">
        <v>193</v>
      </c>
      <c r="C307" s="43">
        <v>108</v>
      </c>
      <c r="D307" s="180">
        <v>136.48</v>
      </c>
      <c r="E307" s="181">
        <v>237.586</v>
      </c>
      <c r="F307" s="181">
        <v>142.552</v>
      </c>
      <c r="G307" s="181">
        <v>3520.276</v>
      </c>
      <c r="H307" s="43">
        <v>324</v>
      </c>
    </row>
    <row r="308" spans="1:8" ht="15.75">
      <c r="A308" s="21">
        <v>7</v>
      </c>
      <c r="B308" s="43" t="s">
        <v>196</v>
      </c>
      <c r="C308" s="43">
        <v>0</v>
      </c>
      <c r="D308" s="180">
        <v>0</v>
      </c>
      <c r="E308" s="181">
        <v>1443.54</v>
      </c>
      <c r="F308" s="181">
        <v>866.124</v>
      </c>
      <c r="G308" s="181">
        <v>1130.368</v>
      </c>
      <c r="H308" s="43">
        <v>534</v>
      </c>
    </row>
    <row r="309" spans="1:8" ht="15.75">
      <c r="A309" s="21">
        <v>8</v>
      </c>
      <c r="B309" s="43" t="s">
        <v>198</v>
      </c>
      <c r="C309" s="43">
        <v>28</v>
      </c>
      <c r="D309" s="180">
        <v>28</v>
      </c>
      <c r="E309" s="181">
        <v>15.076</v>
      </c>
      <c r="F309" s="181">
        <v>15.076</v>
      </c>
      <c r="G309" s="181">
        <v>942.278</v>
      </c>
      <c r="H309" s="43">
        <v>112</v>
      </c>
    </row>
    <row r="310" spans="1:8" ht="15.75">
      <c r="A310" s="21">
        <v>9</v>
      </c>
      <c r="B310" s="43" t="s">
        <v>79</v>
      </c>
      <c r="C310" s="43">
        <v>0</v>
      </c>
      <c r="D310" s="180">
        <v>0</v>
      </c>
      <c r="E310" s="181">
        <v>0</v>
      </c>
      <c r="F310" s="181">
        <v>0</v>
      </c>
      <c r="G310" s="181">
        <v>16461.634</v>
      </c>
      <c r="H310" s="43">
        <v>0</v>
      </c>
    </row>
    <row r="311" spans="1:8" ht="15.75">
      <c r="A311" s="21">
        <v>10</v>
      </c>
      <c r="B311" s="43" t="s">
        <v>234</v>
      </c>
      <c r="C311" s="43">
        <v>0</v>
      </c>
      <c r="D311" s="180">
        <v>0</v>
      </c>
      <c r="E311" s="181">
        <v>0</v>
      </c>
      <c r="F311" s="181">
        <v>0</v>
      </c>
      <c r="G311" s="181">
        <v>8033.706</v>
      </c>
      <c r="H311" s="43">
        <v>0</v>
      </c>
    </row>
    <row r="312" spans="1:8" ht="15.75">
      <c r="A312" s="21"/>
      <c r="B312" s="74" t="s">
        <v>80</v>
      </c>
      <c r="C312" s="126">
        <f aca="true" t="shared" si="28" ref="C312:H312">SUM(C302:C311)</f>
        <v>209</v>
      </c>
      <c r="D312" s="126">
        <f t="shared" si="28"/>
        <v>2680.75</v>
      </c>
      <c r="E312" s="126">
        <f t="shared" si="28"/>
        <v>3116.678</v>
      </c>
      <c r="F312" s="126">
        <f t="shared" si="28"/>
        <v>2032.703</v>
      </c>
      <c r="G312" s="126">
        <f t="shared" si="28"/>
        <v>47685.823</v>
      </c>
      <c r="H312" s="126">
        <f t="shared" si="28"/>
        <v>1410</v>
      </c>
    </row>
    <row r="313" spans="1:8" ht="15.75">
      <c r="A313" s="75"/>
      <c r="B313" s="76"/>
      <c r="C313" s="208"/>
      <c r="D313" s="208"/>
      <c r="E313" s="208"/>
      <c r="F313" s="208"/>
      <c r="G313" s="208"/>
      <c r="H313" s="208"/>
    </row>
    <row r="314" spans="1:8" ht="15.75">
      <c r="A314" s="30"/>
      <c r="B314" s="31"/>
      <c r="C314" s="32"/>
      <c r="D314" s="33" t="s">
        <v>127</v>
      </c>
      <c r="E314" s="34"/>
      <c r="F314" s="34"/>
      <c r="G314" s="34"/>
      <c r="H314" s="32"/>
    </row>
    <row r="315" spans="1:8" ht="27.75" customHeight="1">
      <c r="A315" s="36" t="s">
        <v>3</v>
      </c>
      <c r="B315" s="38" t="s">
        <v>62</v>
      </c>
      <c r="C315" s="38" t="s">
        <v>5</v>
      </c>
      <c r="D315" s="39" t="s">
        <v>6</v>
      </c>
      <c r="E315" s="40" t="s">
        <v>7</v>
      </c>
      <c r="F315" s="41" t="s">
        <v>8</v>
      </c>
      <c r="G315" s="41" t="s">
        <v>9</v>
      </c>
      <c r="H315" s="38" t="s">
        <v>63</v>
      </c>
    </row>
    <row r="316" spans="1:8" ht="15.75">
      <c r="A316" s="21"/>
      <c r="B316" s="43"/>
      <c r="C316" s="44"/>
      <c r="D316" s="45" t="s">
        <v>11</v>
      </c>
      <c r="E316" s="46" t="s">
        <v>64</v>
      </c>
      <c r="F316" s="46" t="s">
        <v>65</v>
      </c>
      <c r="G316" s="46" t="s">
        <v>66</v>
      </c>
      <c r="H316" s="157" t="s">
        <v>15</v>
      </c>
    </row>
    <row r="317" spans="1:8" ht="15.75">
      <c r="A317" s="110">
        <v>1</v>
      </c>
      <c r="B317" s="43" t="s">
        <v>215</v>
      </c>
      <c r="C317" s="43">
        <v>42</v>
      </c>
      <c r="D317" s="180">
        <v>37.74</v>
      </c>
      <c r="E317" s="181">
        <v>204.1</v>
      </c>
      <c r="F317" s="181">
        <v>265.33</v>
      </c>
      <c r="G317" s="181">
        <v>10432.175</v>
      </c>
      <c r="H317" s="43">
        <v>378</v>
      </c>
    </row>
    <row r="318" spans="1:8" ht="15.75">
      <c r="A318" s="110">
        <v>2</v>
      </c>
      <c r="B318" s="43" t="s">
        <v>188</v>
      </c>
      <c r="C318" s="43">
        <v>25</v>
      </c>
      <c r="D318" s="180">
        <v>70.55</v>
      </c>
      <c r="E318" s="181">
        <v>3.705</v>
      </c>
      <c r="F318" s="181">
        <v>33.345</v>
      </c>
      <c r="G318" s="181">
        <v>1342.265</v>
      </c>
      <c r="H318" s="43">
        <v>192</v>
      </c>
    </row>
    <row r="319" spans="1:8" ht="15.75">
      <c r="A319" s="110">
        <v>3</v>
      </c>
      <c r="B319" s="43" t="s">
        <v>189</v>
      </c>
      <c r="C319" s="43">
        <v>0</v>
      </c>
      <c r="D319" s="180">
        <v>0</v>
      </c>
      <c r="E319" s="181">
        <v>181.005</v>
      </c>
      <c r="F319" s="181">
        <f>22.102+88.025</f>
        <v>110.12700000000001</v>
      </c>
      <c r="G319" s="181">
        <v>2329.595</v>
      </c>
      <c r="H319" s="43">
        <v>235</v>
      </c>
    </row>
    <row r="320" spans="1:8" ht="15.75">
      <c r="A320" s="110">
        <v>4</v>
      </c>
      <c r="B320" s="43" t="s">
        <v>192</v>
      </c>
      <c r="C320" s="43">
        <v>1198</v>
      </c>
      <c r="D320" s="180">
        <v>1308.4030000000002</v>
      </c>
      <c r="E320" s="181">
        <v>3334.956</v>
      </c>
      <c r="F320" s="181">
        <v>34446.255</v>
      </c>
      <c r="G320" s="181">
        <v>523402.794</v>
      </c>
      <c r="H320" s="43">
        <v>24160</v>
      </c>
    </row>
    <row r="321" spans="1:8" ht="15.75">
      <c r="A321" s="110">
        <v>5</v>
      </c>
      <c r="B321" s="43" t="s">
        <v>193</v>
      </c>
      <c r="C321" s="43">
        <v>18</v>
      </c>
      <c r="D321" s="180">
        <v>18.9</v>
      </c>
      <c r="E321" s="181">
        <v>483.003</v>
      </c>
      <c r="F321" s="181">
        <v>228.355</v>
      </c>
      <c r="G321" s="181">
        <v>4251.237</v>
      </c>
      <c r="H321" s="43">
        <v>89</v>
      </c>
    </row>
    <row r="322" spans="1:8" ht="15.75">
      <c r="A322" s="196">
        <v>6</v>
      </c>
      <c r="B322" s="43" t="s">
        <v>79</v>
      </c>
      <c r="C322" s="43">
        <v>0</v>
      </c>
      <c r="D322" s="180">
        <v>0</v>
      </c>
      <c r="E322" s="181">
        <v>0</v>
      </c>
      <c r="F322" s="181">
        <v>0</v>
      </c>
      <c r="G322" s="181">
        <v>2495.658</v>
      </c>
      <c r="H322" s="43">
        <v>0</v>
      </c>
    </row>
    <row r="323" spans="1:8" ht="15.75">
      <c r="A323" s="21"/>
      <c r="B323" s="74" t="s">
        <v>80</v>
      </c>
      <c r="C323" s="126">
        <f aca="true" t="shared" si="29" ref="C323:H323">SUM(C317:C322)</f>
        <v>1283</v>
      </c>
      <c r="D323" s="126">
        <f t="shared" si="29"/>
        <v>1435.5930000000003</v>
      </c>
      <c r="E323" s="126">
        <f t="shared" si="29"/>
        <v>4206.769</v>
      </c>
      <c r="F323" s="126">
        <f t="shared" si="29"/>
        <v>35083.412000000004</v>
      </c>
      <c r="G323" s="126">
        <f t="shared" si="29"/>
        <v>544253.724</v>
      </c>
      <c r="H323" s="126">
        <f t="shared" si="29"/>
        <v>25054</v>
      </c>
    </row>
    <row r="324" spans="2:8" ht="12.75">
      <c r="B324" s="1"/>
      <c r="C324" s="1"/>
      <c r="D324" s="226"/>
      <c r="E324" s="1"/>
      <c r="F324" s="1"/>
      <c r="G324" s="1"/>
      <c r="H324" s="1"/>
    </row>
    <row r="325" spans="1:8" ht="15.75">
      <c r="A325" s="30"/>
      <c r="B325" s="31"/>
      <c r="C325" s="32"/>
      <c r="D325" s="33" t="s">
        <v>128</v>
      </c>
      <c r="E325" s="34"/>
      <c r="F325" s="34"/>
      <c r="G325" s="34"/>
      <c r="H325" s="32"/>
    </row>
    <row r="326" spans="1:8" ht="26.25" customHeight="1">
      <c r="A326" s="36" t="s">
        <v>3</v>
      </c>
      <c r="B326" s="38" t="s">
        <v>62</v>
      </c>
      <c r="C326" s="38" t="s">
        <v>5</v>
      </c>
      <c r="D326" s="39" t="s">
        <v>6</v>
      </c>
      <c r="E326" s="40" t="s">
        <v>7</v>
      </c>
      <c r="F326" s="41" t="s">
        <v>8</v>
      </c>
      <c r="G326" s="41" t="s">
        <v>9</v>
      </c>
      <c r="H326" s="38" t="s">
        <v>63</v>
      </c>
    </row>
    <row r="327" spans="1:8" ht="15.75">
      <c r="A327" s="21"/>
      <c r="B327" s="43"/>
      <c r="C327" s="44"/>
      <c r="D327" s="45" t="s">
        <v>11</v>
      </c>
      <c r="E327" s="46" t="s">
        <v>64</v>
      </c>
      <c r="F327" s="46" t="s">
        <v>65</v>
      </c>
      <c r="G327" s="46" t="s">
        <v>66</v>
      </c>
      <c r="H327" s="157" t="s">
        <v>15</v>
      </c>
    </row>
    <row r="328" spans="1:8" s="20" customFormat="1" ht="15.75">
      <c r="A328" s="110">
        <v>1</v>
      </c>
      <c r="B328" s="43" t="s">
        <v>185</v>
      </c>
      <c r="C328" s="43">
        <v>0</v>
      </c>
      <c r="D328" s="180">
        <v>0</v>
      </c>
      <c r="E328" s="181">
        <v>577.65</v>
      </c>
      <c r="F328" s="181">
        <v>173.295</v>
      </c>
      <c r="G328" s="181">
        <v>4621.174000000001</v>
      </c>
      <c r="H328" s="43">
        <v>560</v>
      </c>
    </row>
    <row r="329" spans="1:8" s="20" customFormat="1" ht="15.75">
      <c r="A329" s="110">
        <f>+A328+1</f>
        <v>2</v>
      </c>
      <c r="B329" s="43" t="s">
        <v>188</v>
      </c>
      <c r="C329" s="43">
        <v>3</v>
      </c>
      <c r="D329" s="180">
        <v>9.81</v>
      </c>
      <c r="E329" s="181">
        <v>0</v>
      </c>
      <c r="F329" s="181">
        <v>0</v>
      </c>
      <c r="G329" s="181">
        <v>918.2869999999999</v>
      </c>
      <c r="H329" s="43">
        <v>0</v>
      </c>
    </row>
    <row r="330" spans="1:8" s="20" customFormat="1" ht="15.75">
      <c r="A330" s="110">
        <f>+A329+1</f>
        <v>3</v>
      </c>
      <c r="B330" s="43" t="s">
        <v>189</v>
      </c>
      <c r="C330" s="43">
        <v>0</v>
      </c>
      <c r="D330" s="180">
        <v>0</v>
      </c>
      <c r="E330" s="181">
        <v>3125.011</v>
      </c>
      <c r="F330" s="181">
        <v>2500.005</v>
      </c>
      <c r="G330" s="181">
        <v>25000.03</v>
      </c>
      <c r="H330" s="43">
        <v>0</v>
      </c>
    </row>
    <row r="331" spans="1:8" s="20" customFormat="1" ht="15.75">
      <c r="A331" s="110">
        <f>+A330+1</f>
        <v>4</v>
      </c>
      <c r="B331" s="43" t="s">
        <v>190</v>
      </c>
      <c r="C331" s="43">
        <v>2</v>
      </c>
      <c r="D331" s="180">
        <v>651</v>
      </c>
      <c r="E331" s="181">
        <v>105.177</v>
      </c>
      <c r="F331" s="181">
        <v>105.177</v>
      </c>
      <c r="G331" s="181">
        <v>5829.170999999999</v>
      </c>
      <c r="H331" s="43">
        <v>45</v>
      </c>
    </row>
    <row r="332" spans="1:8" s="20" customFormat="1" ht="15.75">
      <c r="A332" s="110">
        <f>+A331+1</f>
        <v>5</v>
      </c>
      <c r="B332" s="43" t="s">
        <v>192</v>
      </c>
      <c r="C332" s="43">
        <v>26</v>
      </c>
      <c r="D332" s="180">
        <v>494.61</v>
      </c>
      <c r="E332" s="181">
        <v>26.852</v>
      </c>
      <c r="F332" s="181">
        <v>214.816</v>
      </c>
      <c r="G332" s="181">
        <v>7201.715999999999</v>
      </c>
      <c r="H332" s="43">
        <v>140</v>
      </c>
    </row>
    <row r="333" spans="1:8" s="20" customFormat="1" ht="15.75">
      <c r="A333" s="110">
        <f>+A332+1</f>
        <v>6</v>
      </c>
      <c r="B333" s="43" t="s">
        <v>193</v>
      </c>
      <c r="C333" s="43">
        <v>222</v>
      </c>
      <c r="D333" s="180">
        <f>220+566</f>
        <v>786</v>
      </c>
      <c r="E333" s="181">
        <f>1986.451+1.902</f>
        <v>1988.353</v>
      </c>
      <c r="F333" s="181">
        <f>794.581+1.902</f>
        <v>796.4830000000001</v>
      </c>
      <c r="G333" s="181">
        <f>14362.199+478.648</f>
        <v>14840.847</v>
      </c>
      <c r="H333" s="43">
        <v>1080</v>
      </c>
    </row>
    <row r="334" spans="1:8" s="20" customFormat="1" ht="15.75">
      <c r="A334" s="110">
        <v>7</v>
      </c>
      <c r="B334" s="43" t="s">
        <v>197</v>
      </c>
      <c r="C334" s="43">
        <v>14</v>
      </c>
      <c r="D334" s="180">
        <v>14</v>
      </c>
      <c r="E334" s="181">
        <v>0.838</v>
      </c>
      <c r="F334" s="181">
        <v>1.2570000000000001</v>
      </c>
      <c r="G334" s="181">
        <v>38.059</v>
      </c>
      <c r="H334" s="43">
        <v>30</v>
      </c>
    </row>
    <row r="335" spans="1:8" ht="15.75">
      <c r="A335" s="21">
        <v>8</v>
      </c>
      <c r="B335" s="43" t="s">
        <v>205</v>
      </c>
      <c r="C335" s="43">
        <v>0</v>
      </c>
      <c r="D335" s="180">
        <v>0</v>
      </c>
      <c r="E335" s="181">
        <v>0</v>
      </c>
      <c r="F335" s="181">
        <v>0</v>
      </c>
      <c r="G335" s="181">
        <v>35</v>
      </c>
      <c r="H335" s="43">
        <v>0</v>
      </c>
    </row>
    <row r="336" spans="1:8" ht="15.75">
      <c r="A336" s="196">
        <v>9</v>
      </c>
      <c r="B336" s="43" t="s">
        <v>234</v>
      </c>
      <c r="C336" s="43">
        <v>0</v>
      </c>
      <c r="D336" s="180">
        <v>0</v>
      </c>
      <c r="E336" s="181">
        <v>0</v>
      </c>
      <c r="F336" s="181">
        <v>0</v>
      </c>
      <c r="G336" s="181">
        <f>4515+12819.593-2515</f>
        <v>14819.593</v>
      </c>
      <c r="H336" s="43">
        <v>0</v>
      </c>
    </row>
    <row r="337" spans="1:8" ht="15.75">
      <c r="A337" s="21"/>
      <c r="B337" s="74" t="s">
        <v>80</v>
      </c>
      <c r="C337" s="126">
        <f aca="true" t="shared" si="30" ref="C337:H337">SUM(C328:C336)</f>
        <v>267</v>
      </c>
      <c r="D337" s="126">
        <f t="shared" si="30"/>
        <v>1955.42</v>
      </c>
      <c r="E337" s="126">
        <f t="shared" si="30"/>
        <v>5823.880999999999</v>
      </c>
      <c r="F337" s="126">
        <f t="shared" si="30"/>
        <v>3791.0330000000004</v>
      </c>
      <c r="G337" s="126">
        <f t="shared" si="30"/>
        <v>73303.87700000001</v>
      </c>
      <c r="H337" s="126">
        <f t="shared" si="30"/>
        <v>1855</v>
      </c>
    </row>
    <row r="338" spans="1:8" ht="15.75" customHeight="1">
      <c r="A338" s="201" t="s">
        <v>230</v>
      </c>
      <c r="B338" s="89"/>
      <c r="C338" s="90"/>
      <c r="D338" s="91"/>
      <c r="E338" s="92"/>
      <c r="F338" s="92"/>
      <c r="G338" s="92"/>
      <c r="H338" s="90"/>
    </row>
    <row r="339" spans="1:8" ht="15.75">
      <c r="A339" s="30"/>
      <c r="B339" s="31"/>
      <c r="C339" s="32"/>
      <c r="D339" s="33" t="s">
        <v>129</v>
      </c>
      <c r="E339" s="34"/>
      <c r="F339" s="34"/>
      <c r="G339" s="34"/>
      <c r="H339" s="32"/>
    </row>
    <row r="340" spans="1:8" ht="27" customHeight="1">
      <c r="A340" s="36" t="s">
        <v>3</v>
      </c>
      <c r="B340" s="38" t="s">
        <v>62</v>
      </c>
      <c r="C340" s="38" t="s">
        <v>5</v>
      </c>
      <c r="D340" s="39" t="s">
        <v>6</v>
      </c>
      <c r="E340" s="40" t="s">
        <v>7</v>
      </c>
      <c r="F340" s="41" t="s">
        <v>8</v>
      </c>
      <c r="G340" s="41" t="s">
        <v>9</v>
      </c>
      <c r="H340" s="38" t="s">
        <v>63</v>
      </c>
    </row>
    <row r="341" spans="1:8" ht="15.75">
      <c r="A341" s="21"/>
      <c r="B341" s="43"/>
      <c r="C341" s="44"/>
      <c r="D341" s="45" t="s">
        <v>11</v>
      </c>
      <c r="E341" s="46" t="s">
        <v>64</v>
      </c>
      <c r="F341" s="46" t="s">
        <v>65</v>
      </c>
      <c r="G341" s="46" t="s">
        <v>66</v>
      </c>
      <c r="H341" s="157" t="s">
        <v>15</v>
      </c>
    </row>
    <row r="342" spans="1:8" ht="15.75">
      <c r="A342" s="21">
        <v>1</v>
      </c>
      <c r="B342" s="43" t="s">
        <v>188</v>
      </c>
      <c r="C342" s="43">
        <v>33</v>
      </c>
      <c r="D342" s="180">
        <v>55</v>
      </c>
      <c r="E342" s="181">
        <v>6.162</v>
      </c>
      <c r="F342" s="181">
        <v>43.13</v>
      </c>
      <c r="G342" s="181">
        <v>802</v>
      </c>
      <c r="H342" s="43">
        <v>135</v>
      </c>
    </row>
    <row r="343" spans="1:8" ht="15.75">
      <c r="A343" s="21">
        <f>+A342+1</f>
        <v>2</v>
      </c>
      <c r="B343" s="43" t="s">
        <v>190</v>
      </c>
      <c r="C343" s="43">
        <v>36</v>
      </c>
      <c r="D343" s="180">
        <v>37.25</v>
      </c>
      <c r="E343" s="181">
        <v>349.803</v>
      </c>
      <c r="F343" s="181">
        <v>180.49</v>
      </c>
      <c r="G343" s="181">
        <v>3212</v>
      </c>
      <c r="H343" s="43">
        <v>415</v>
      </c>
    </row>
    <row r="344" spans="1:8" ht="15.75">
      <c r="A344" s="21">
        <f>+A343+1</f>
        <v>3</v>
      </c>
      <c r="B344" s="43" t="s">
        <v>192</v>
      </c>
      <c r="C344" s="43">
        <v>85</v>
      </c>
      <c r="D344" s="180">
        <v>74.95</v>
      </c>
      <c r="E344" s="181">
        <v>188.931</v>
      </c>
      <c r="F344" s="181">
        <v>1511.45</v>
      </c>
      <c r="G344" s="181">
        <v>27395</v>
      </c>
      <c r="H344" s="43">
        <v>1600</v>
      </c>
    </row>
    <row r="345" spans="1:8" ht="15.75">
      <c r="A345" s="21">
        <f>+A344+1</f>
        <v>4</v>
      </c>
      <c r="B345" s="43" t="s">
        <v>193</v>
      </c>
      <c r="C345" s="43">
        <v>55</v>
      </c>
      <c r="D345" s="180">
        <v>56</v>
      </c>
      <c r="E345" s="181">
        <v>365.807</v>
      </c>
      <c r="F345" s="181">
        <v>182.9</v>
      </c>
      <c r="G345" s="181">
        <v>2979.096</v>
      </c>
      <c r="H345" s="43">
        <v>275</v>
      </c>
    </row>
    <row r="346" spans="1:8" ht="15.75">
      <c r="A346" s="21">
        <f>+A345+1</f>
        <v>5</v>
      </c>
      <c r="B346" s="43" t="s">
        <v>189</v>
      </c>
      <c r="C346" s="43">
        <v>0</v>
      </c>
      <c r="D346" s="180">
        <v>0</v>
      </c>
      <c r="E346" s="181">
        <v>102.388</v>
      </c>
      <c r="F346" s="181">
        <v>51.19</v>
      </c>
      <c r="G346" s="181">
        <v>2792.375</v>
      </c>
      <c r="H346" s="43">
        <v>100</v>
      </c>
    </row>
    <row r="347" spans="1:8" ht="15.75">
      <c r="A347" s="196">
        <v>6</v>
      </c>
      <c r="B347" s="43" t="s">
        <v>234</v>
      </c>
      <c r="C347" s="43">
        <v>0</v>
      </c>
      <c r="D347" s="180">
        <v>0</v>
      </c>
      <c r="E347" s="181">
        <v>0</v>
      </c>
      <c r="F347" s="181">
        <v>0</v>
      </c>
      <c r="G347" s="181">
        <v>3101.529</v>
      </c>
      <c r="H347" s="43">
        <v>0</v>
      </c>
    </row>
    <row r="348" spans="1:8" ht="15.75">
      <c r="A348" s="21"/>
      <c r="B348" s="74" t="s">
        <v>80</v>
      </c>
      <c r="C348" s="126">
        <f aca="true" t="shared" si="31" ref="C348:H348">SUM(C342:C347)</f>
        <v>209</v>
      </c>
      <c r="D348" s="126">
        <f t="shared" si="31"/>
        <v>223.2</v>
      </c>
      <c r="E348" s="126">
        <f t="shared" si="31"/>
        <v>1013.091</v>
      </c>
      <c r="F348" s="126">
        <f t="shared" si="31"/>
        <v>1969.1600000000003</v>
      </c>
      <c r="G348" s="128">
        <f t="shared" si="31"/>
        <v>40282</v>
      </c>
      <c r="H348" s="126">
        <f t="shared" si="31"/>
        <v>2525</v>
      </c>
    </row>
    <row r="349" spans="1:8" ht="21">
      <c r="A349" s="201" t="s">
        <v>230</v>
      </c>
      <c r="B349" s="68"/>
      <c r="C349" s="69"/>
      <c r="D349" s="70"/>
      <c r="E349" s="71"/>
      <c r="F349" s="71"/>
      <c r="G349" s="71"/>
      <c r="H349" s="69"/>
    </row>
    <row r="350" spans="1:8" ht="15.75">
      <c r="A350" s="30"/>
      <c r="B350" s="31"/>
      <c r="C350" s="32"/>
      <c r="D350" s="33" t="s">
        <v>132</v>
      </c>
      <c r="E350" s="34"/>
      <c r="F350" s="34"/>
      <c r="G350" s="34"/>
      <c r="H350" s="32"/>
    </row>
    <row r="351" spans="1:8" ht="31.5">
      <c r="A351" s="36" t="s">
        <v>3</v>
      </c>
      <c r="B351" s="38" t="s">
        <v>62</v>
      </c>
      <c r="C351" s="38" t="s">
        <v>5</v>
      </c>
      <c r="D351" s="39" t="s">
        <v>6</v>
      </c>
      <c r="E351" s="40" t="s">
        <v>7</v>
      </c>
      <c r="F351" s="41" t="s">
        <v>8</v>
      </c>
      <c r="G351" s="41" t="s">
        <v>9</v>
      </c>
      <c r="H351" s="38" t="s">
        <v>63</v>
      </c>
    </row>
    <row r="352" spans="1:8" ht="15.75">
      <c r="A352" s="21"/>
      <c r="B352" s="43"/>
      <c r="C352" s="44"/>
      <c r="D352" s="45" t="s">
        <v>11</v>
      </c>
      <c r="E352" s="46" t="s">
        <v>64</v>
      </c>
      <c r="F352" s="46" t="s">
        <v>65</v>
      </c>
      <c r="G352" s="46" t="s">
        <v>66</v>
      </c>
      <c r="H352" s="157" t="s">
        <v>15</v>
      </c>
    </row>
    <row r="353" spans="1:8" ht="15.75">
      <c r="A353" s="21">
        <v>1</v>
      </c>
      <c r="B353" s="43" t="s">
        <v>185</v>
      </c>
      <c r="C353" s="43">
        <v>0</v>
      </c>
      <c r="D353" s="180">
        <v>0</v>
      </c>
      <c r="E353" s="181">
        <f>5892.6-2656.5</f>
        <v>3236.1000000000004</v>
      </c>
      <c r="F353" s="181">
        <f>20152.69-9085.23</f>
        <v>11067.46</v>
      </c>
      <c r="G353" s="181">
        <f>49256.188-17035.635</f>
        <v>32220.553000000004</v>
      </c>
      <c r="H353" s="43">
        <f>3904-1760</f>
        <v>2144</v>
      </c>
    </row>
    <row r="354" spans="1:8" ht="15.75">
      <c r="A354" s="21">
        <v>2</v>
      </c>
      <c r="B354" s="43" t="s">
        <v>199</v>
      </c>
      <c r="C354" s="43">
        <v>1</v>
      </c>
      <c r="D354" s="180">
        <v>0</v>
      </c>
      <c r="E354" s="181">
        <f>0.192-0.125</f>
        <v>0.067</v>
      </c>
      <c r="F354" s="181">
        <f>18.617-12.09</f>
        <v>6.527000000000001</v>
      </c>
      <c r="G354" s="181">
        <f>217.037-187.5</f>
        <v>29.537000000000006</v>
      </c>
      <c r="H354" s="43">
        <v>15</v>
      </c>
    </row>
    <row r="355" spans="1:8" ht="15.75">
      <c r="A355" s="196">
        <v>3</v>
      </c>
      <c r="B355" s="43" t="s">
        <v>234</v>
      </c>
      <c r="C355" s="43">
        <v>0</v>
      </c>
      <c r="D355" s="180">
        <v>0</v>
      </c>
      <c r="E355" s="181">
        <v>0</v>
      </c>
      <c r="F355" s="181">
        <v>0</v>
      </c>
      <c r="G355" s="181">
        <v>4563.049</v>
      </c>
      <c r="H355" s="43">
        <v>0</v>
      </c>
    </row>
    <row r="356" spans="1:8" ht="15.75">
      <c r="A356" s="21"/>
      <c r="B356" s="74" t="s">
        <v>80</v>
      </c>
      <c r="C356" s="126">
        <f aca="true" t="shared" si="32" ref="C356:H356">SUM(C353:C355)</f>
        <v>1</v>
      </c>
      <c r="D356" s="127">
        <f t="shared" si="32"/>
        <v>0</v>
      </c>
      <c r="E356" s="126">
        <f t="shared" si="32"/>
        <v>3236.1670000000004</v>
      </c>
      <c r="F356" s="126">
        <f t="shared" si="32"/>
        <v>11073.987</v>
      </c>
      <c r="G356" s="126">
        <f t="shared" si="32"/>
        <v>36813.139</v>
      </c>
      <c r="H356" s="126">
        <f t="shared" si="32"/>
        <v>2159</v>
      </c>
    </row>
    <row r="357" spans="1:8" ht="21">
      <c r="A357" s="201" t="s">
        <v>230</v>
      </c>
      <c r="B357" s="76"/>
      <c r="C357" s="208"/>
      <c r="D357" s="211"/>
      <c r="E357" s="212"/>
      <c r="F357" s="212"/>
      <c r="G357" s="212"/>
      <c r="H357" s="208"/>
    </row>
    <row r="358" spans="1:8" ht="15.75">
      <c r="A358" s="30"/>
      <c r="B358" s="31"/>
      <c r="C358" s="32"/>
      <c r="D358" s="33" t="s">
        <v>133</v>
      </c>
      <c r="E358" s="34"/>
      <c r="F358" s="34"/>
      <c r="G358" s="34"/>
      <c r="H358" s="32"/>
    </row>
    <row r="359" spans="1:8" ht="31.5">
      <c r="A359" s="36" t="s">
        <v>3</v>
      </c>
      <c r="B359" s="38" t="s">
        <v>62</v>
      </c>
      <c r="C359" s="38" t="s">
        <v>5</v>
      </c>
      <c r="D359" s="39" t="s">
        <v>6</v>
      </c>
      <c r="E359" s="40" t="s">
        <v>7</v>
      </c>
      <c r="F359" s="41" t="s">
        <v>8</v>
      </c>
      <c r="G359" s="41" t="s">
        <v>9</v>
      </c>
      <c r="H359" s="38" t="s">
        <v>63</v>
      </c>
    </row>
    <row r="360" spans="1:8" ht="15.75">
      <c r="A360" s="21"/>
      <c r="B360" s="43"/>
      <c r="C360" s="44"/>
      <c r="D360" s="45" t="s">
        <v>11</v>
      </c>
      <c r="E360" s="46" t="s">
        <v>64</v>
      </c>
      <c r="F360" s="46" t="s">
        <v>65</v>
      </c>
      <c r="G360" s="46" t="s">
        <v>66</v>
      </c>
      <c r="H360" s="157" t="s">
        <v>15</v>
      </c>
    </row>
    <row r="361" spans="1:8" ht="15.75">
      <c r="A361" s="21">
        <v>1</v>
      </c>
      <c r="B361" s="43" t="s">
        <v>188</v>
      </c>
      <c r="C361" s="219">
        <v>2</v>
      </c>
      <c r="D361" s="220">
        <v>2</v>
      </c>
      <c r="E361" s="227">
        <v>0.68</v>
      </c>
      <c r="F361" s="227">
        <v>3.4</v>
      </c>
      <c r="G361" s="227">
        <v>51</v>
      </c>
      <c r="H361" s="219">
        <v>12</v>
      </c>
    </row>
    <row r="362" spans="1:8" ht="15.75">
      <c r="A362" s="21">
        <v>2</v>
      </c>
      <c r="B362" s="43" t="s">
        <v>189</v>
      </c>
      <c r="C362" s="219">
        <v>0</v>
      </c>
      <c r="D362" s="220">
        <v>0</v>
      </c>
      <c r="E362" s="227">
        <v>3.907</v>
      </c>
      <c r="F362" s="227">
        <v>2.73</v>
      </c>
      <c r="G362" s="227">
        <v>31</v>
      </c>
      <c r="H362" s="219">
        <v>10</v>
      </c>
    </row>
    <row r="363" spans="1:8" ht="15.75">
      <c r="A363" s="21">
        <f>+A362+1</f>
        <v>3</v>
      </c>
      <c r="B363" s="43" t="s">
        <v>193</v>
      </c>
      <c r="C363" s="219">
        <v>56</v>
      </c>
      <c r="D363" s="220">
        <f>12.07+117.29</f>
        <v>129.36</v>
      </c>
      <c r="E363" s="227">
        <f>66.442+207.7</f>
        <v>274.142</v>
      </c>
      <c r="F363" s="227">
        <f>46.51+103.85</f>
        <v>150.35999999999999</v>
      </c>
      <c r="G363" s="227">
        <f>532+1661.6</f>
        <v>2193.6</v>
      </c>
      <c r="H363" s="219">
        <v>360</v>
      </c>
    </row>
    <row r="364" spans="1:8" ht="15.75">
      <c r="A364" s="21">
        <v>4</v>
      </c>
      <c r="B364" s="43" t="s">
        <v>222</v>
      </c>
      <c r="C364" s="219">
        <v>0</v>
      </c>
      <c r="D364" s="220">
        <v>0</v>
      </c>
      <c r="E364" s="227">
        <f>66.313+66.448</f>
        <v>132.761</v>
      </c>
      <c r="F364" s="227">
        <f>46.42+26.57</f>
        <v>72.99000000000001</v>
      </c>
      <c r="G364" s="227">
        <v>631</v>
      </c>
      <c r="H364" s="219">
        <v>0</v>
      </c>
    </row>
    <row r="365" spans="1:8" ht="15.75">
      <c r="A365" s="21">
        <v>5</v>
      </c>
      <c r="B365" s="43" t="s">
        <v>196</v>
      </c>
      <c r="C365" s="219">
        <v>4</v>
      </c>
      <c r="D365" s="220">
        <v>4</v>
      </c>
      <c r="E365" s="227">
        <v>2.913</v>
      </c>
      <c r="F365" s="227">
        <v>5.82</v>
      </c>
      <c r="G365" s="227">
        <v>64.108</v>
      </c>
      <c r="H365" s="219">
        <v>25</v>
      </c>
    </row>
    <row r="366" spans="1:8" ht="15.75">
      <c r="A366" s="21"/>
      <c r="B366" s="74" t="s">
        <v>80</v>
      </c>
      <c r="C366" s="126">
        <f aca="true" t="shared" si="33" ref="C366:H366">SUM(C361:C365)</f>
        <v>62</v>
      </c>
      <c r="D366" s="126">
        <f t="shared" si="33"/>
        <v>135.36</v>
      </c>
      <c r="E366" s="126">
        <f t="shared" si="33"/>
        <v>414.403</v>
      </c>
      <c r="F366" s="126">
        <f t="shared" si="33"/>
        <v>235.29999999999998</v>
      </c>
      <c r="G366" s="126">
        <f t="shared" si="33"/>
        <v>2970.708</v>
      </c>
      <c r="H366" s="126">
        <f t="shared" si="33"/>
        <v>407</v>
      </c>
    </row>
    <row r="367" spans="1:8" ht="21">
      <c r="A367" s="201" t="s">
        <v>230</v>
      </c>
      <c r="B367" s="89"/>
      <c r="C367" s="90"/>
      <c r="D367" s="91"/>
      <c r="E367" s="92"/>
      <c r="F367" s="92"/>
      <c r="G367" s="92"/>
      <c r="H367" s="90"/>
    </row>
    <row r="368" spans="1:8" ht="15.75">
      <c r="A368" s="30"/>
      <c r="B368" s="31"/>
      <c r="C368" s="32"/>
      <c r="D368" s="33" t="s">
        <v>241</v>
      </c>
      <c r="E368" s="34"/>
      <c r="F368" s="34"/>
      <c r="G368" s="34"/>
      <c r="H368" s="32"/>
    </row>
    <row r="369" spans="1:8" ht="31.5">
      <c r="A369" s="36" t="s">
        <v>3</v>
      </c>
      <c r="B369" s="38" t="s">
        <v>62</v>
      </c>
      <c r="C369" s="38" t="s">
        <v>5</v>
      </c>
      <c r="D369" s="39" t="s">
        <v>6</v>
      </c>
      <c r="E369" s="40" t="s">
        <v>7</v>
      </c>
      <c r="F369" s="41" t="s">
        <v>8</v>
      </c>
      <c r="G369" s="41" t="s">
        <v>9</v>
      </c>
      <c r="H369" s="38" t="s">
        <v>63</v>
      </c>
    </row>
    <row r="370" spans="1:8" ht="15.75">
      <c r="A370" s="21"/>
      <c r="B370" s="43"/>
      <c r="C370" s="44"/>
      <c r="D370" s="45" t="s">
        <v>11</v>
      </c>
      <c r="E370" s="46" t="s">
        <v>64</v>
      </c>
      <c r="F370" s="46" t="s">
        <v>65</v>
      </c>
      <c r="G370" s="46" t="s">
        <v>66</v>
      </c>
      <c r="H370" s="157" t="s">
        <v>15</v>
      </c>
    </row>
    <row r="371" spans="1:8" ht="15.75">
      <c r="A371" s="21">
        <v>1</v>
      </c>
      <c r="B371" s="43" t="s">
        <v>185</v>
      </c>
      <c r="C371" s="219">
        <v>0</v>
      </c>
      <c r="D371" s="220">
        <v>0</v>
      </c>
      <c r="E371" s="227">
        <v>65</v>
      </c>
      <c r="F371" s="227">
        <v>650</v>
      </c>
      <c r="G371" s="227">
        <v>520</v>
      </c>
      <c r="H371" s="219">
        <v>60</v>
      </c>
    </row>
    <row r="372" spans="1:8" ht="15.75">
      <c r="A372" s="21">
        <v>2</v>
      </c>
      <c r="B372" s="43" t="s">
        <v>189</v>
      </c>
      <c r="C372" s="219">
        <v>0</v>
      </c>
      <c r="D372" s="220">
        <v>0</v>
      </c>
      <c r="E372" s="227">
        <v>14352.875</v>
      </c>
      <c r="F372" s="227">
        <v>7176.437</v>
      </c>
      <c r="G372" s="227">
        <v>114823</v>
      </c>
      <c r="H372" s="219">
        <v>840</v>
      </c>
    </row>
    <row r="373" spans="1:8" ht="15.75">
      <c r="A373" s="21">
        <f>+A372+1</f>
        <v>3</v>
      </c>
      <c r="B373" s="43" t="s">
        <v>190</v>
      </c>
      <c r="C373" s="219">
        <v>1</v>
      </c>
      <c r="D373" s="220">
        <v>1</v>
      </c>
      <c r="E373" s="227">
        <v>0.625</v>
      </c>
      <c r="F373" s="227">
        <v>0.937</v>
      </c>
      <c r="G373" s="227">
        <v>25</v>
      </c>
      <c r="H373" s="219">
        <v>7</v>
      </c>
    </row>
    <row r="374" spans="1:8" ht="15.75">
      <c r="A374" s="21">
        <f>+A373+1</f>
        <v>4</v>
      </c>
      <c r="B374" s="43" t="s">
        <v>193</v>
      </c>
      <c r="C374" s="219">
        <v>86</v>
      </c>
      <c r="D374" s="220">
        <v>33.79</v>
      </c>
      <c r="E374" s="227">
        <v>436.925</v>
      </c>
      <c r="F374" s="227">
        <v>218.48</v>
      </c>
      <c r="G374" s="227">
        <v>3495.4</v>
      </c>
      <c r="H374" s="219">
        <v>507</v>
      </c>
    </row>
    <row r="375" spans="1:8" ht="15.75">
      <c r="A375" s="21">
        <f>+A374+1</f>
        <v>5</v>
      </c>
      <c r="B375" s="43" t="s">
        <v>196</v>
      </c>
      <c r="C375" s="219">
        <v>46</v>
      </c>
      <c r="D375" s="220">
        <v>52</v>
      </c>
      <c r="E375" s="227">
        <v>262.224</v>
      </c>
      <c r="F375" s="227">
        <v>524.448</v>
      </c>
      <c r="G375" s="227">
        <f>576.892</f>
        <v>576.892</v>
      </c>
      <c r="H375" s="219">
        <v>225</v>
      </c>
    </row>
    <row r="376" spans="1:8" ht="15.75">
      <c r="A376" s="21">
        <v>6</v>
      </c>
      <c r="B376" s="43" t="s">
        <v>203</v>
      </c>
      <c r="C376" s="219">
        <v>3</v>
      </c>
      <c r="D376" s="220">
        <v>2.65</v>
      </c>
      <c r="E376" s="227">
        <v>0.805</v>
      </c>
      <c r="F376" s="227">
        <v>1.61</v>
      </c>
      <c r="G376" s="227">
        <v>29</v>
      </c>
      <c r="H376" s="219">
        <v>20</v>
      </c>
    </row>
    <row r="377" spans="1:8" ht="15.75">
      <c r="A377" s="196">
        <v>7</v>
      </c>
      <c r="B377" s="43" t="s">
        <v>234</v>
      </c>
      <c r="C377" s="219">
        <v>0</v>
      </c>
      <c r="D377" s="220">
        <v>0</v>
      </c>
      <c r="E377" s="227">
        <v>0</v>
      </c>
      <c r="F377" s="227">
        <v>0</v>
      </c>
      <c r="G377" s="227">
        <v>13159</v>
      </c>
      <c r="H377" s="219">
        <v>0</v>
      </c>
    </row>
    <row r="378" spans="1:8" ht="15.75">
      <c r="A378" s="21"/>
      <c r="B378" s="74" t="s">
        <v>80</v>
      </c>
      <c r="C378" s="126">
        <f aca="true" t="shared" si="34" ref="C378:H378">SUM(C371:C377)</f>
        <v>136</v>
      </c>
      <c r="D378" s="126">
        <f t="shared" si="34"/>
        <v>89.44</v>
      </c>
      <c r="E378" s="126">
        <f t="shared" si="34"/>
        <v>15118.454</v>
      </c>
      <c r="F378" s="126">
        <f t="shared" si="34"/>
        <v>8571.912</v>
      </c>
      <c r="G378" s="126">
        <f t="shared" si="34"/>
        <v>132628.29200000002</v>
      </c>
      <c r="H378" s="126">
        <f t="shared" si="34"/>
        <v>1659</v>
      </c>
    </row>
    <row r="379" spans="1:8" ht="21">
      <c r="A379" s="201" t="s">
        <v>230</v>
      </c>
      <c r="B379" s="89"/>
      <c r="C379" s="90"/>
      <c r="D379" s="91"/>
      <c r="E379" s="92"/>
      <c r="F379" s="92"/>
      <c r="G379" s="92"/>
      <c r="H379" s="90"/>
    </row>
    <row r="380" spans="1:8" ht="15.75">
      <c r="A380" s="30"/>
      <c r="B380" s="31"/>
      <c r="C380" s="32"/>
      <c r="D380" s="33" t="s">
        <v>136</v>
      </c>
      <c r="E380" s="34"/>
      <c r="F380" s="34"/>
      <c r="G380" s="34"/>
      <c r="H380" s="32"/>
    </row>
    <row r="381" spans="1:8" ht="31.5">
      <c r="A381" s="36" t="s">
        <v>3</v>
      </c>
      <c r="B381" s="38" t="s">
        <v>62</v>
      </c>
      <c r="C381" s="38" t="s">
        <v>5</v>
      </c>
      <c r="D381" s="39" t="s">
        <v>6</v>
      </c>
      <c r="E381" s="40" t="s">
        <v>7</v>
      </c>
      <c r="F381" s="41" t="s">
        <v>8</v>
      </c>
      <c r="G381" s="41" t="s">
        <v>9</v>
      </c>
      <c r="H381" s="38" t="s">
        <v>63</v>
      </c>
    </row>
    <row r="382" spans="1:8" ht="15.75">
      <c r="A382" s="21"/>
      <c r="B382" s="43"/>
      <c r="C382" s="44"/>
      <c r="D382" s="45" t="s">
        <v>11</v>
      </c>
      <c r="E382" s="46" t="s">
        <v>64</v>
      </c>
      <c r="F382" s="46" t="s">
        <v>65</v>
      </c>
      <c r="G382" s="46" t="s">
        <v>66</v>
      </c>
      <c r="H382" s="157" t="s">
        <v>15</v>
      </c>
    </row>
    <row r="383" spans="1:8" ht="15.75">
      <c r="A383" s="21">
        <v>1</v>
      </c>
      <c r="B383" s="43" t="s">
        <v>187</v>
      </c>
      <c r="C383" s="43">
        <v>0</v>
      </c>
      <c r="D383" s="180">
        <v>0</v>
      </c>
      <c r="E383" s="181">
        <v>0</v>
      </c>
      <c r="F383" s="181">
        <v>0</v>
      </c>
      <c r="G383" s="181">
        <v>53.508</v>
      </c>
      <c r="H383" s="43">
        <v>0</v>
      </c>
    </row>
    <row r="384" spans="1:8" ht="15.75">
      <c r="A384" s="21">
        <v>2</v>
      </c>
      <c r="B384" s="43" t="s">
        <v>189</v>
      </c>
      <c r="C384" s="43">
        <v>0</v>
      </c>
      <c r="D384" s="180">
        <v>0</v>
      </c>
      <c r="E384" s="181">
        <v>1597.5</v>
      </c>
      <c r="F384" s="181">
        <v>2193.075</v>
      </c>
      <c r="G384" s="181">
        <v>13685</v>
      </c>
      <c r="H384" s="43">
        <v>480</v>
      </c>
    </row>
    <row r="385" spans="1:8" ht="15.75">
      <c r="A385" s="21">
        <v>3</v>
      </c>
      <c r="B385" s="43" t="s">
        <v>188</v>
      </c>
      <c r="C385" s="43">
        <v>0</v>
      </c>
      <c r="D385" s="180">
        <v>0</v>
      </c>
      <c r="E385" s="181">
        <v>0</v>
      </c>
      <c r="F385" s="181">
        <v>0</v>
      </c>
      <c r="G385" s="181">
        <v>49.35</v>
      </c>
      <c r="H385" s="43">
        <v>0</v>
      </c>
    </row>
    <row r="386" spans="1:8" ht="15.75">
      <c r="A386" s="21">
        <v>4</v>
      </c>
      <c r="B386" s="43" t="s">
        <v>190</v>
      </c>
      <c r="C386" s="43">
        <v>17</v>
      </c>
      <c r="D386" s="180">
        <v>19.581000000000003</v>
      </c>
      <c r="E386" s="181">
        <v>56.992000000000004</v>
      </c>
      <c r="F386" s="181">
        <v>104.85400000000001</v>
      </c>
      <c r="G386" s="181">
        <v>3434</v>
      </c>
      <c r="H386" s="43">
        <v>229</v>
      </c>
    </row>
    <row r="387" spans="1:8" ht="15.75">
      <c r="A387" s="21">
        <v>5</v>
      </c>
      <c r="B387" s="43" t="s">
        <v>192</v>
      </c>
      <c r="C387" s="43">
        <v>138</v>
      </c>
      <c r="D387" s="180">
        <v>135.75</v>
      </c>
      <c r="E387" s="181">
        <v>224.08800000000002</v>
      </c>
      <c r="F387" s="181">
        <v>2345.946</v>
      </c>
      <c r="G387" s="181">
        <v>26477.775999999998</v>
      </c>
      <c r="H387" s="43">
        <v>1637</v>
      </c>
    </row>
    <row r="388" spans="1:8" ht="15.75">
      <c r="A388" s="21">
        <f>+A387+1</f>
        <v>6</v>
      </c>
      <c r="B388" s="43" t="s">
        <v>193</v>
      </c>
      <c r="C388" s="43">
        <v>74</v>
      </c>
      <c r="D388" s="180">
        <v>85.43</v>
      </c>
      <c r="E388" s="181">
        <v>1927.0159999999998</v>
      </c>
      <c r="F388" s="181">
        <v>1875.92</v>
      </c>
      <c r="G388" s="181">
        <v>19490.783</v>
      </c>
      <c r="H388" s="43">
        <v>5813</v>
      </c>
    </row>
    <row r="389" spans="1:8" ht="15.75">
      <c r="A389" s="21">
        <f>+A388+1</f>
        <v>7</v>
      </c>
      <c r="B389" s="43" t="s">
        <v>196</v>
      </c>
      <c r="C389" s="43">
        <v>0</v>
      </c>
      <c r="D389" s="180">
        <v>0</v>
      </c>
      <c r="E389" s="181">
        <v>0</v>
      </c>
      <c r="F389" s="181">
        <v>0</v>
      </c>
      <c r="G389" s="181">
        <v>0</v>
      </c>
      <c r="H389" s="43">
        <v>0</v>
      </c>
    </row>
    <row r="390" spans="1:8" ht="15.75">
      <c r="A390" s="21">
        <f>+A389+1</f>
        <v>8</v>
      </c>
      <c r="B390" s="43" t="s">
        <v>197</v>
      </c>
      <c r="C390" s="43">
        <v>1</v>
      </c>
      <c r="D390" s="180">
        <v>1</v>
      </c>
      <c r="E390" s="181">
        <v>0</v>
      </c>
      <c r="F390" s="181">
        <v>0</v>
      </c>
      <c r="G390" s="181">
        <v>625</v>
      </c>
      <c r="H390" s="43">
        <v>0</v>
      </c>
    </row>
    <row r="391" spans="1:8" ht="15.75">
      <c r="A391" s="21">
        <v>9</v>
      </c>
      <c r="B391" s="43" t="s">
        <v>201</v>
      </c>
      <c r="C391" s="43">
        <v>211</v>
      </c>
      <c r="D391" s="180">
        <v>233.34</v>
      </c>
      <c r="E391" s="181">
        <v>675.674</v>
      </c>
      <c r="F391" s="181">
        <v>7092.4</v>
      </c>
      <c r="G391" s="181">
        <v>137473.615</v>
      </c>
      <c r="H391" s="43">
        <v>1362</v>
      </c>
    </row>
    <row r="392" spans="1:8" ht="15.75">
      <c r="A392" s="21">
        <v>10</v>
      </c>
      <c r="B392" s="43" t="s">
        <v>79</v>
      </c>
      <c r="C392" s="43">
        <v>0</v>
      </c>
      <c r="D392" s="180">
        <v>0</v>
      </c>
      <c r="E392" s="181">
        <v>0</v>
      </c>
      <c r="F392" s="181">
        <v>0</v>
      </c>
      <c r="G392" s="181">
        <v>231.112</v>
      </c>
      <c r="H392" s="43">
        <v>0</v>
      </c>
    </row>
    <row r="393" spans="1:8" ht="15.75">
      <c r="A393" s="196">
        <v>11</v>
      </c>
      <c r="B393" s="43" t="s">
        <v>234</v>
      </c>
      <c r="C393" s="43">
        <v>0</v>
      </c>
      <c r="D393" s="180">
        <v>0</v>
      </c>
      <c r="E393" s="181">
        <v>0</v>
      </c>
      <c r="F393" s="181">
        <v>0</v>
      </c>
      <c r="G393" s="181">
        <v>3850.338</v>
      </c>
      <c r="H393" s="43">
        <v>0</v>
      </c>
    </row>
    <row r="394" spans="1:8" ht="15.75" customHeight="1">
      <c r="A394" s="21"/>
      <c r="B394" s="74" t="s">
        <v>80</v>
      </c>
      <c r="C394" s="126">
        <f aca="true" t="shared" si="35" ref="C394:H394">SUM(C383:C393)</f>
        <v>441</v>
      </c>
      <c r="D394" s="127">
        <f t="shared" si="35"/>
        <v>475.101</v>
      </c>
      <c r="E394" s="128">
        <f t="shared" si="35"/>
        <v>4481.2699999999995</v>
      </c>
      <c r="F394" s="126">
        <f t="shared" si="35"/>
        <v>13612.195</v>
      </c>
      <c r="G394" s="126">
        <f t="shared" si="35"/>
        <v>205370.482</v>
      </c>
      <c r="H394" s="126">
        <f t="shared" si="35"/>
        <v>9521</v>
      </c>
    </row>
    <row r="395" spans="1:8" ht="15.75">
      <c r="A395" s="21"/>
      <c r="B395" s="74"/>
      <c r="C395" s="126"/>
      <c r="D395" s="127"/>
      <c r="E395" s="128"/>
      <c r="F395" s="128"/>
      <c r="G395" s="128"/>
      <c r="H395" s="126"/>
    </row>
    <row r="396" spans="1:8" ht="15.75">
      <c r="A396" s="21"/>
      <c r="B396" s="74" t="s">
        <v>56</v>
      </c>
      <c r="C396" s="126">
        <f aca="true" t="shared" si="36" ref="C396:H396">+C394+C378+C366+C356+C348+C337+C323+C312+C297+C285+C274+C261+C247+C232+C223+C209+C195+C183+C176+C166+C157+C145+C128+C119+C104+C93+C81+C72+C61+C45+C32+C16</f>
        <v>8821</v>
      </c>
      <c r="D396" s="127">
        <f t="shared" si="36"/>
        <v>59831.19479999998</v>
      </c>
      <c r="E396" s="128">
        <f t="shared" si="36"/>
        <v>183687.87499999994</v>
      </c>
      <c r="F396" s="128">
        <f t="shared" si="36"/>
        <v>247718.04200000002</v>
      </c>
      <c r="G396" s="128">
        <f t="shared" si="36"/>
        <v>3525510.053000001</v>
      </c>
      <c r="H396" s="126">
        <f t="shared" si="36"/>
        <v>259968</v>
      </c>
    </row>
    <row r="398" spans="5:6" ht="15.75">
      <c r="E398" s="25">
        <f>183687.875-E396</f>
        <v>0</v>
      </c>
      <c r="F398" s="25">
        <f>247718.042-F396</f>
        <v>0</v>
      </c>
    </row>
  </sheetData>
  <mergeCells count="1">
    <mergeCell ref="A1:H1"/>
  </mergeCells>
  <printOptions/>
  <pageMargins left="0.7480314960629921" right="0.4330708661417323" top="0.5511811023622047" bottom="0.5118110236220472" header="0.31496062992125984" footer="0.5118110236220472"/>
  <pageSetup horizontalDpi="120" verticalDpi="120" orientation="portrait" paperSize="9" scale="87" r:id="rId1"/>
  <headerFooter alignWithMargins="0">
    <oddHeader>&amp;CDISTRICTWISE MINOR MINERAL STATISTICS YEAR 2006-07
</oddHeader>
    <oddFooter>&amp;L&amp;Z&amp;F&amp;R&amp;P of &amp;N</oddFooter>
  </headerFooter>
  <rowBreaks count="7" manualBreakCount="7">
    <brk id="46" max="7" man="1"/>
    <brk id="94" max="7" man="1"/>
    <brk id="146" max="7" man="1"/>
    <brk id="196" max="7" man="1"/>
    <brk id="248" max="7" man="1"/>
    <brk id="298" max="7" man="1"/>
    <brk id="34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377"/>
  <sheetViews>
    <sheetView zoomScaleSheetLayoutView="100" workbookViewId="0" topLeftCell="A122">
      <selection activeCell="D235" sqref="D235"/>
    </sheetView>
  </sheetViews>
  <sheetFormatPr defaultColWidth="9.140625" defaultRowHeight="12.75"/>
  <cols>
    <col min="1" max="1" width="5.57421875" style="0" customWidth="1"/>
    <col min="2" max="2" width="20.140625" style="142" customWidth="1"/>
    <col min="3" max="3" width="8.8515625" style="143" customWidth="1"/>
    <col min="4" max="4" width="11.421875" style="144" customWidth="1"/>
    <col min="5" max="5" width="12.7109375" style="145" customWidth="1"/>
    <col min="6" max="6" width="14.00390625" style="145" customWidth="1"/>
    <col min="7" max="7" width="14.7109375" style="145" customWidth="1"/>
    <col min="8" max="8" width="13.57421875" style="146" customWidth="1"/>
    <col min="9" max="16384" width="9.140625" style="1" customWidth="1"/>
  </cols>
  <sheetData>
    <row r="2" spans="1:8" ht="27.75">
      <c r="A2" s="228" t="s">
        <v>59</v>
      </c>
      <c r="B2" s="228"/>
      <c r="C2" s="228"/>
      <c r="D2" s="228"/>
      <c r="E2" s="228"/>
      <c r="F2" s="228"/>
      <c r="G2" s="228"/>
      <c r="H2" s="228"/>
    </row>
    <row r="3" spans="1:8" ht="22.5">
      <c r="A3" s="30"/>
      <c r="B3" s="31"/>
      <c r="C3" s="32"/>
      <c r="D3" s="131" t="s">
        <v>121</v>
      </c>
      <c r="E3" s="34"/>
      <c r="F3" s="34"/>
      <c r="G3" s="34"/>
      <c r="H3" s="35"/>
    </row>
    <row r="4" spans="1:8" ht="31.5">
      <c r="A4" s="36" t="s">
        <v>3</v>
      </c>
      <c r="B4" s="37" t="s">
        <v>141</v>
      </c>
      <c r="C4" s="38" t="s">
        <v>5</v>
      </c>
      <c r="D4" s="39" t="s">
        <v>6</v>
      </c>
      <c r="E4" s="40" t="s">
        <v>7</v>
      </c>
      <c r="F4" s="41" t="s">
        <v>8</v>
      </c>
      <c r="G4" s="41" t="s">
        <v>9</v>
      </c>
      <c r="H4" s="42" t="s">
        <v>63</v>
      </c>
    </row>
    <row r="5" spans="1:8" ht="15.75">
      <c r="A5" s="21"/>
      <c r="B5" s="43"/>
      <c r="C5" s="44"/>
      <c r="D5" s="45" t="s">
        <v>11</v>
      </c>
      <c r="E5" s="46" t="s">
        <v>64</v>
      </c>
      <c r="F5" s="46" t="s">
        <v>65</v>
      </c>
      <c r="G5" s="46" t="s">
        <v>66</v>
      </c>
      <c r="H5" s="47" t="s">
        <v>15</v>
      </c>
    </row>
    <row r="6" spans="1:8" ht="15.75">
      <c r="A6" s="21">
        <v>1</v>
      </c>
      <c r="B6" s="14" t="s">
        <v>142</v>
      </c>
      <c r="C6" s="54">
        <v>3</v>
      </c>
      <c r="D6" s="58">
        <v>706.75</v>
      </c>
      <c r="E6" s="56">
        <v>1000.414</v>
      </c>
      <c r="F6" s="56">
        <v>25200.37</v>
      </c>
      <c r="G6" s="56">
        <f>104877.582-764-246</f>
        <v>103867.582</v>
      </c>
      <c r="H6" s="57">
        <v>2500</v>
      </c>
    </row>
    <row r="7" spans="1:8" ht="15.75">
      <c r="A7" s="99"/>
      <c r="B7" s="132" t="s">
        <v>143</v>
      </c>
      <c r="C7" s="13">
        <f aca="true" t="shared" si="0" ref="C7:H7">SUM(C6)</f>
        <v>3</v>
      </c>
      <c r="D7" s="13">
        <f t="shared" si="0"/>
        <v>706.75</v>
      </c>
      <c r="E7" s="13">
        <f t="shared" si="0"/>
        <v>1000.414</v>
      </c>
      <c r="F7" s="13">
        <f t="shared" si="0"/>
        <v>25200.37</v>
      </c>
      <c r="G7" s="13">
        <f t="shared" si="0"/>
        <v>103867.582</v>
      </c>
      <c r="H7" s="13">
        <f t="shared" si="0"/>
        <v>2500</v>
      </c>
    </row>
    <row r="9" spans="1:8" ht="22.5">
      <c r="A9" s="30"/>
      <c r="B9" s="31"/>
      <c r="C9" s="32"/>
      <c r="D9" s="133" t="s">
        <v>122</v>
      </c>
      <c r="E9" s="34"/>
      <c r="F9" s="34"/>
      <c r="G9" s="34"/>
      <c r="H9" s="35"/>
    </row>
    <row r="10" spans="1:8" ht="31.5">
      <c r="A10" s="112" t="s">
        <v>3</v>
      </c>
      <c r="B10" s="37" t="s">
        <v>141</v>
      </c>
      <c r="C10" s="114" t="s">
        <v>5</v>
      </c>
      <c r="D10" s="115" t="s">
        <v>6</v>
      </c>
      <c r="E10" s="116" t="s">
        <v>7</v>
      </c>
      <c r="F10" s="117" t="s">
        <v>8</v>
      </c>
      <c r="G10" s="117" t="s">
        <v>9</v>
      </c>
      <c r="H10" s="118" t="s">
        <v>63</v>
      </c>
    </row>
    <row r="11" spans="1:8" ht="15.75">
      <c r="A11" s="21"/>
      <c r="B11" s="43"/>
      <c r="C11" s="44"/>
      <c r="D11" s="45" t="s">
        <v>11</v>
      </c>
      <c r="E11" s="46" t="s">
        <v>144</v>
      </c>
      <c r="F11" s="46" t="s">
        <v>65</v>
      </c>
      <c r="G11" s="46" t="s">
        <v>66</v>
      </c>
      <c r="H11" s="47" t="s">
        <v>15</v>
      </c>
    </row>
    <row r="12" spans="1:8" ht="15.75">
      <c r="A12" s="36">
        <v>1</v>
      </c>
      <c r="B12" s="14" t="s">
        <v>142</v>
      </c>
      <c r="C12" s="54">
        <v>0</v>
      </c>
      <c r="D12" s="58">
        <v>0</v>
      </c>
      <c r="E12" s="56">
        <v>51.005</v>
      </c>
      <c r="F12" s="56">
        <v>416.915</v>
      </c>
      <c r="G12" s="56">
        <v>764</v>
      </c>
      <c r="H12" s="57">
        <v>0</v>
      </c>
    </row>
    <row r="13" spans="1:8" ht="15.75">
      <c r="A13" s="36"/>
      <c r="B13" s="132" t="s">
        <v>143</v>
      </c>
      <c r="C13" s="13">
        <f aca="true" t="shared" si="1" ref="C13:H13">SUM(C12)</f>
        <v>0</v>
      </c>
      <c r="D13" s="14">
        <f t="shared" si="1"/>
        <v>0</v>
      </c>
      <c r="E13" s="13">
        <f t="shared" si="1"/>
        <v>51.005</v>
      </c>
      <c r="F13" s="15">
        <f t="shared" si="1"/>
        <v>416.915</v>
      </c>
      <c r="G13" s="15">
        <f t="shared" si="1"/>
        <v>764</v>
      </c>
      <c r="H13" s="13">
        <f t="shared" si="1"/>
        <v>0</v>
      </c>
    </row>
    <row r="15" spans="1:8" ht="22.5">
      <c r="A15" s="30"/>
      <c r="B15" s="31"/>
      <c r="C15" s="32"/>
      <c r="D15" s="133" t="s">
        <v>84</v>
      </c>
      <c r="E15" s="34"/>
      <c r="F15" s="34"/>
      <c r="G15" s="34"/>
      <c r="H15" s="35"/>
    </row>
    <row r="16" spans="1:8" ht="31.5">
      <c r="A16" s="36" t="s">
        <v>3</v>
      </c>
      <c r="B16" s="37" t="s">
        <v>141</v>
      </c>
      <c r="C16" s="38" t="s">
        <v>5</v>
      </c>
      <c r="D16" s="39" t="s">
        <v>6</v>
      </c>
      <c r="E16" s="40" t="s">
        <v>7</v>
      </c>
      <c r="F16" s="41" t="s">
        <v>8</v>
      </c>
      <c r="G16" s="41" t="s">
        <v>9</v>
      </c>
      <c r="H16" s="42" t="s">
        <v>63</v>
      </c>
    </row>
    <row r="17" spans="1:8" ht="15.75">
      <c r="A17" s="21"/>
      <c r="B17" s="43"/>
      <c r="C17" s="44"/>
      <c r="D17" s="45" t="s">
        <v>11</v>
      </c>
      <c r="E17" s="46" t="s">
        <v>64</v>
      </c>
      <c r="F17" s="46" t="s">
        <v>65</v>
      </c>
      <c r="G17" s="46" t="s">
        <v>66</v>
      </c>
      <c r="H17" s="47" t="s">
        <v>15</v>
      </c>
    </row>
    <row r="18" spans="1:8" ht="15.75">
      <c r="A18" s="21">
        <v>1</v>
      </c>
      <c r="B18" s="14" t="s">
        <v>145</v>
      </c>
      <c r="C18" s="54">
        <v>1</v>
      </c>
      <c r="D18" s="58">
        <v>69.36</v>
      </c>
      <c r="E18" s="56">
        <v>0</v>
      </c>
      <c r="F18" s="56">
        <v>0</v>
      </c>
      <c r="G18" s="56">
        <v>13.874</v>
      </c>
      <c r="H18" s="57">
        <v>0</v>
      </c>
    </row>
    <row r="19" spans="1:8" ht="15.75">
      <c r="A19" s="36">
        <v>2</v>
      </c>
      <c r="B19" s="14" t="s">
        <v>146</v>
      </c>
      <c r="C19" s="54">
        <v>4</v>
      </c>
      <c r="D19" s="58">
        <v>354.59</v>
      </c>
      <c r="E19" s="56">
        <v>10.8</v>
      </c>
      <c r="F19" s="56">
        <v>24.3</v>
      </c>
      <c r="G19" s="56">
        <v>46</v>
      </c>
      <c r="H19" s="57">
        <v>15</v>
      </c>
    </row>
    <row r="20" spans="1:8" ht="15.75">
      <c r="A20" s="21">
        <v>3</v>
      </c>
      <c r="B20" s="14" t="s">
        <v>147</v>
      </c>
      <c r="C20" s="54">
        <v>2</v>
      </c>
      <c r="D20" s="58">
        <v>56.8</v>
      </c>
      <c r="E20" s="56">
        <v>17.445</v>
      </c>
      <c r="F20" s="56">
        <v>78.502</v>
      </c>
      <c r="G20" s="56">
        <v>248</v>
      </c>
      <c r="H20" s="57">
        <v>197</v>
      </c>
    </row>
    <row r="21" spans="1:8" ht="15.75">
      <c r="A21" s="21">
        <v>4</v>
      </c>
      <c r="B21" s="14" t="s">
        <v>142</v>
      </c>
      <c r="C21" s="54">
        <v>10</v>
      </c>
      <c r="D21" s="58">
        <v>196</v>
      </c>
      <c r="E21" s="56">
        <v>32.811</v>
      </c>
      <c r="F21" s="56">
        <v>49.216</v>
      </c>
      <c r="G21" s="56">
        <v>2074.202</v>
      </c>
      <c r="H21" s="57">
        <v>125</v>
      </c>
    </row>
    <row r="22" spans="1:8" ht="15.75">
      <c r="A22" s="99"/>
      <c r="B22" s="132" t="s">
        <v>143</v>
      </c>
      <c r="C22" s="13">
        <f aca="true" t="shared" si="2" ref="C22:H22">SUM(C18:C21)</f>
        <v>17</v>
      </c>
      <c r="D22" s="13">
        <f t="shared" si="2"/>
        <v>676.75</v>
      </c>
      <c r="E22" s="13">
        <f t="shared" si="2"/>
        <v>61.056</v>
      </c>
      <c r="F22" s="13">
        <f t="shared" si="2"/>
        <v>152.018</v>
      </c>
      <c r="G22" s="13">
        <f t="shared" si="2"/>
        <v>2382.076</v>
      </c>
      <c r="H22" s="13">
        <f t="shared" si="2"/>
        <v>337</v>
      </c>
    </row>
    <row r="24" spans="1:8" ht="22.5">
      <c r="A24" s="30"/>
      <c r="B24" s="31"/>
      <c r="C24" s="32"/>
      <c r="D24" s="134" t="s">
        <v>67</v>
      </c>
      <c r="E24" s="34"/>
      <c r="F24" s="34"/>
      <c r="G24" s="34"/>
      <c r="H24" s="35"/>
    </row>
    <row r="25" spans="1:8" ht="31.5">
      <c r="A25" s="36" t="s">
        <v>3</v>
      </c>
      <c r="B25" s="37" t="s">
        <v>141</v>
      </c>
      <c r="C25" s="38" t="s">
        <v>5</v>
      </c>
      <c r="D25" s="39" t="s">
        <v>6</v>
      </c>
      <c r="E25" s="40" t="s">
        <v>7</v>
      </c>
      <c r="F25" s="41" t="s">
        <v>8</v>
      </c>
      <c r="G25" s="41" t="s">
        <v>9</v>
      </c>
      <c r="H25" s="42" t="s">
        <v>63</v>
      </c>
    </row>
    <row r="26" spans="1:8" ht="15.75">
      <c r="A26" s="21"/>
      <c r="B26" s="43"/>
      <c r="C26" s="44"/>
      <c r="D26" s="45" t="s">
        <v>11</v>
      </c>
      <c r="E26" s="46" t="s">
        <v>64</v>
      </c>
      <c r="F26" s="46" t="s">
        <v>65</v>
      </c>
      <c r="G26" s="46" t="s">
        <v>66</v>
      </c>
      <c r="H26" s="47" t="s">
        <v>15</v>
      </c>
    </row>
    <row r="27" spans="1:8" ht="15.75">
      <c r="A27" s="21">
        <v>1</v>
      </c>
      <c r="B27" s="14" t="s">
        <v>148</v>
      </c>
      <c r="C27" s="54">
        <v>1</v>
      </c>
      <c r="D27" s="58">
        <v>480.45</v>
      </c>
      <c r="E27" s="56">
        <v>0</v>
      </c>
      <c r="F27" s="56">
        <v>0</v>
      </c>
      <c r="G27" s="56">
        <v>916.61</v>
      </c>
      <c r="H27" s="57">
        <v>31</v>
      </c>
    </row>
    <row r="28" spans="1:8" ht="15.75">
      <c r="A28" s="21">
        <v>2</v>
      </c>
      <c r="B28" s="14" t="s">
        <v>149</v>
      </c>
      <c r="C28" s="54">
        <v>1</v>
      </c>
      <c r="D28" s="58">
        <v>1200</v>
      </c>
      <c r="E28" s="56">
        <v>3748.04</v>
      </c>
      <c r="F28" s="56">
        <v>11539.3</v>
      </c>
      <c r="G28" s="56">
        <f>5224799.427</f>
        <v>5224799.427</v>
      </c>
      <c r="H28" s="57">
        <v>1119</v>
      </c>
    </row>
    <row r="29" spans="1:8" ht="15.75">
      <c r="A29" s="21">
        <v>3</v>
      </c>
      <c r="B29" s="14" t="s">
        <v>150</v>
      </c>
      <c r="C29" s="54">
        <v>2</v>
      </c>
      <c r="D29" s="58">
        <v>1342.04</v>
      </c>
      <c r="E29" s="56">
        <v>577.924</v>
      </c>
      <c r="F29" s="56">
        <v>1778.85</v>
      </c>
      <c r="G29" s="56">
        <v>365572.603</v>
      </c>
      <c r="H29" s="57">
        <v>1132</v>
      </c>
    </row>
    <row r="30" spans="1:8" ht="15.75">
      <c r="A30" s="21">
        <v>4</v>
      </c>
      <c r="B30" s="14" t="s">
        <v>151</v>
      </c>
      <c r="C30" s="54">
        <v>1</v>
      </c>
      <c r="D30" s="58">
        <v>3620</v>
      </c>
      <c r="E30" s="56">
        <v>812</v>
      </c>
      <c r="F30" s="56">
        <v>8769.6</v>
      </c>
      <c r="G30" s="56">
        <v>339152</v>
      </c>
      <c r="H30" s="57">
        <v>1050</v>
      </c>
    </row>
    <row r="31" spans="1:8" ht="15.75">
      <c r="A31" s="99"/>
      <c r="B31" s="132" t="s">
        <v>143</v>
      </c>
      <c r="C31" s="13">
        <f aca="true" t="shared" si="3" ref="C31:H31">SUM(C27:C30)</f>
        <v>5</v>
      </c>
      <c r="D31" s="13">
        <f t="shared" si="3"/>
        <v>6642.49</v>
      </c>
      <c r="E31" s="13">
        <f t="shared" si="3"/>
        <v>5137.964</v>
      </c>
      <c r="F31" s="13">
        <f t="shared" si="3"/>
        <v>22087.75</v>
      </c>
      <c r="G31" s="13">
        <f t="shared" si="3"/>
        <v>5930440.640000001</v>
      </c>
      <c r="H31" s="13">
        <f t="shared" si="3"/>
        <v>3332</v>
      </c>
    </row>
    <row r="33" spans="1:8" ht="22.5">
      <c r="A33" s="30"/>
      <c r="B33" s="31"/>
      <c r="C33" s="32"/>
      <c r="D33" s="131" t="s">
        <v>92</v>
      </c>
      <c r="E33" s="34"/>
      <c r="F33" s="34"/>
      <c r="G33" s="34"/>
      <c r="H33" s="35"/>
    </row>
    <row r="34" spans="1:8" ht="31.5">
      <c r="A34" s="36" t="s">
        <v>3</v>
      </c>
      <c r="B34" s="37" t="s">
        <v>141</v>
      </c>
      <c r="C34" s="38" t="s">
        <v>5</v>
      </c>
      <c r="D34" s="39" t="s">
        <v>6</v>
      </c>
      <c r="E34" s="40" t="s">
        <v>7</v>
      </c>
      <c r="F34" s="41" t="s">
        <v>8</v>
      </c>
      <c r="G34" s="41" t="s">
        <v>9</v>
      </c>
      <c r="H34" s="42" t="s">
        <v>63</v>
      </c>
    </row>
    <row r="35" spans="1:8" ht="15.75">
      <c r="A35" s="21"/>
      <c r="B35" s="43"/>
      <c r="C35" s="44"/>
      <c r="D35" s="45" t="s">
        <v>11</v>
      </c>
      <c r="E35" s="46" t="s">
        <v>64</v>
      </c>
      <c r="F35" s="46" t="s">
        <v>65</v>
      </c>
      <c r="G35" s="46" t="s">
        <v>66</v>
      </c>
      <c r="H35" s="47" t="s">
        <v>15</v>
      </c>
    </row>
    <row r="36" spans="1:8" ht="15.75">
      <c r="A36" s="21">
        <v>1</v>
      </c>
      <c r="B36" s="14" t="s">
        <v>152</v>
      </c>
      <c r="C36" s="54">
        <v>1</v>
      </c>
      <c r="D36" s="58">
        <v>18.89</v>
      </c>
      <c r="E36" s="56">
        <v>0</v>
      </c>
      <c r="F36" s="56">
        <v>0</v>
      </c>
      <c r="G36" s="56">
        <v>27</v>
      </c>
      <c r="H36" s="57">
        <v>0</v>
      </c>
    </row>
    <row r="37" spans="1:8" ht="15.75">
      <c r="A37" s="21"/>
      <c r="B37" s="132" t="s">
        <v>143</v>
      </c>
      <c r="C37" s="13">
        <f aca="true" t="shared" si="4" ref="C37:H37">SUM(C36)</f>
        <v>1</v>
      </c>
      <c r="D37" s="13">
        <f t="shared" si="4"/>
        <v>18.89</v>
      </c>
      <c r="E37" s="15">
        <f t="shared" si="4"/>
        <v>0</v>
      </c>
      <c r="F37" s="15">
        <f t="shared" si="4"/>
        <v>0</v>
      </c>
      <c r="G37" s="15">
        <f t="shared" si="4"/>
        <v>27</v>
      </c>
      <c r="H37" s="13">
        <f t="shared" si="4"/>
        <v>0</v>
      </c>
    </row>
    <row r="39" spans="1:8" ht="22.5">
      <c r="A39" s="75"/>
      <c r="B39" s="89"/>
      <c r="C39" s="90"/>
      <c r="D39" s="131" t="s">
        <v>123</v>
      </c>
      <c r="E39" s="92"/>
      <c r="F39" s="92"/>
      <c r="G39" s="92"/>
      <c r="H39" s="93"/>
    </row>
    <row r="40" spans="1:8" ht="31.5">
      <c r="A40" s="36" t="s">
        <v>3</v>
      </c>
      <c r="B40" s="37" t="s">
        <v>141</v>
      </c>
      <c r="C40" s="38" t="s">
        <v>5</v>
      </c>
      <c r="D40" s="39" t="s">
        <v>6</v>
      </c>
      <c r="E40" s="40" t="s">
        <v>7</v>
      </c>
      <c r="F40" s="41" t="s">
        <v>8</v>
      </c>
      <c r="G40" s="41" t="s">
        <v>9</v>
      </c>
      <c r="H40" s="42" t="s">
        <v>63</v>
      </c>
    </row>
    <row r="41" spans="1:8" ht="15.75">
      <c r="A41" s="21"/>
      <c r="B41" s="43"/>
      <c r="C41" s="44"/>
      <c r="D41" s="45" t="s">
        <v>11</v>
      </c>
      <c r="E41" s="46" t="s">
        <v>144</v>
      </c>
      <c r="F41" s="46" t="s">
        <v>65</v>
      </c>
      <c r="G41" s="46" t="s">
        <v>66</v>
      </c>
      <c r="H41" s="47" t="s">
        <v>15</v>
      </c>
    </row>
    <row r="42" spans="1:8" ht="15.75">
      <c r="A42" s="21">
        <v>1</v>
      </c>
      <c r="B42" s="14" t="s">
        <v>142</v>
      </c>
      <c r="C42" s="54">
        <v>0</v>
      </c>
      <c r="D42" s="58">
        <v>0</v>
      </c>
      <c r="E42" s="56">
        <v>487.977</v>
      </c>
      <c r="F42" s="56">
        <v>79.7</v>
      </c>
      <c r="G42" s="56">
        <v>246</v>
      </c>
      <c r="H42" s="57">
        <v>0</v>
      </c>
    </row>
    <row r="43" spans="1:8" ht="15.75">
      <c r="A43" s="21">
        <v>2</v>
      </c>
      <c r="B43" s="14" t="s">
        <v>149</v>
      </c>
      <c r="C43" s="54">
        <v>0</v>
      </c>
      <c r="D43" s="58">
        <v>0</v>
      </c>
      <c r="E43" s="56">
        <v>60410</v>
      </c>
      <c r="F43" s="56">
        <f>9946.203-79.7</f>
        <v>9866.502999999999</v>
      </c>
      <c r="G43" s="56">
        <v>0</v>
      </c>
      <c r="H43" s="57">
        <v>0</v>
      </c>
    </row>
    <row r="44" spans="1:8" ht="15.75">
      <c r="A44" s="21"/>
      <c r="B44" s="132" t="s">
        <v>143</v>
      </c>
      <c r="C44" s="54">
        <f aca="true" t="shared" si="5" ref="C44:H44">SUM(C42:C43)</f>
        <v>0</v>
      </c>
      <c r="D44" s="54">
        <f t="shared" si="5"/>
        <v>0</v>
      </c>
      <c r="E44" s="54">
        <f t="shared" si="5"/>
        <v>60897.977</v>
      </c>
      <c r="F44" s="54">
        <f t="shared" si="5"/>
        <v>9946.203</v>
      </c>
      <c r="G44" s="56">
        <f t="shared" si="5"/>
        <v>246</v>
      </c>
      <c r="H44" s="54">
        <f t="shared" si="5"/>
        <v>0</v>
      </c>
    </row>
    <row r="46" spans="1:8" ht="22.5">
      <c r="A46" s="30"/>
      <c r="B46" s="31"/>
      <c r="C46" s="90"/>
      <c r="D46" s="131" t="s">
        <v>68</v>
      </c>
      <c r="E46" s="92"/>
      <c r="F46" s="34"/>
      <c r="G46" s="34"/>
      <c r="H46" s="35"/>
    </row>
    <row r="47" spans="1:8" ht="31.5">
      <c r="A47" s="36" t="s">
        <v>3</v>
      </c>
      <c r="B47" s="37" t="s">
        <v>141</v>
      </c>
      <c r="C47" s="38" t="s">
        <v>5</v>
      </c>
      <c r="D47" s="39" t="s">
        <v>6</v>
      </c>
      <c r="E47" s="40" t="s">
        <v>7</v>
      </c>
      <c r="F47" s="41" t="s">
        <v>8</v>
      </c>
      <c r="G47" s="41" t="s">
        <v>9</v>
      </c>
      <c r="H47" s="42" t="s">
        <v>63</v>
      </c>
    </row>
    <row r="48" spans="1:8" ht="15.75">
      <c r="A48" s="21"/>
      <c r="B48" s="43"/>
      <c r="C48" s="44"/>
      <c r="D48" s="45" t="s">
        <v>11</v>
      </c>
      <c r="E48" s="46" t="s">
        <v>64</v>
      </c>
      <c r="F48" s="46" t="s">
        <v>65</v>
      </c>
      <c r="G48" s="46" t="s">
        <v>66</v>
      </c>
      <c r="H48" s="47" t="s">
        <v>15</v>
      </c>
    </row>
    <row r="49" spans="1:8" ht="15.75">
      <c r="A49" s="21">
        <v>1</v>
      </c>
      <c r="B49" s="33" t="s">
        <v>148</v>
      </c>
      <c r="C49" s="54">
        <v>1</v>
      </c>
      <c r="D49" s="58">
        <v>33.04</v>
      </c>
      <c r="E49" s="56">
        <v>0</v>
      </c>
      <c r="F49" s="56">
        <v>0</v>
      </c>
      <c r="G49" s="56">
        <v>0</v>
      </c>
      <c r="H49" s="57">
        <v>0</v>
      </c>
    </row>
    <row r="50" spans="1:8" ht="15.75">
      <c r="A50" s="21">
        <v>2</v>
      </c>
      <c r="B50" s="33" t="s">
        <v>153</v>
      </c>
      <c r="C50" s="54">
        <v>5</v>
      </c>
      <c r="D50" s="58">
        <v>272.804</v>
      </c>
      <c r="E50" s="56">
        <v>0</v>
      </c>
      <c r="F50" s="56">
        <v>0</v>
      </c>
      <c r="G50" s="56">
        <v>0</v>
      </c>
      <c r="H50" s="57">
        <v>0</v>
      </c>
    </row>
    <row r="51" spans="1:8" ht="15.75" customHeight="1">
      <c r="A51" s="21">
        <v>3</v>
      </c>
      <c r="B51" s="33" t="s">
        <v>154</v>
      </c>
      <c r="C51" s="54">
        <v>6</v>
      </c>
      <c r="D51" s="58">
        <v>234.13</v>
      </c>
      <c r="E51" s="56">
        <v>0</v>
      </c>
      <c r="F51" s="56">
        <v>0</v>
      </c>
      <c r="G51" s="56">
        <v>0</v>
      </c>
      <c r="H51" s="57">
        <v>0</v>
      </c>
    </row>
    <row r="52" spans="1:8" ht="15.75" customHeight="1">
      <c r="A52" s="21">
        <v>4</v>
      </c>
      <c r="B52" s="33" t="s">
        <v>151</v>
      </c>
      <c r="C52" s="54">
        <v>4</v>
      </c>
      <c r="D52" s="58">
        <v>298.58</v>
      </c>
      <c r="E52" s="56">
        <v>0</v>
      </c>
      <c r="F52" s="56">
        <v>0</v>
      </c>
      <c r="G52" s="56">
        <v>30</v>
      </c>
      <c r="H52" s="57">
        <v>8</v>
      </c>
    </row>
    <row r="53" spans="1:8" s="136" customFormat="1" ht="15.75" customHeight="1">
      <c r="A53" s="135"/>
      <c r="B53" s="132" t="s">
        <v>143</v>
      </c>
      <c r="C53" s="66">
        <f aca="true" t="shared" si="6" ref="C53:H53">SUM(C49:C52)</f>
        <v>16</v>
      </c>
      <c r="D53" s="121">
        <f t="shared" si="6"/>
        <v>838.5539999999999</v>
      </c>
      <c r="E53" s="95">
        <f t="shared" si="6"/>
        <v>0</v>
      </c>
      <c r="F53" s="95">
        <f t="shared" si="6"/>
        <v>0</v>
      </c>
      <c r="G53" s="95">
        <f t="shared" si="6"/>
        <v>30</v>
      </c>
      <c r="H53" s="66">
        <f t="shared" si="6"/>
        <v>8</v>
      </c>
    </row>
    <row r="54" spans="1:8" s="75" customFormat="1" ht="15.75" customHeight="1">
      <c r="A54" s="67"/>
      <c r="B54" s="106"/>
      <c r="C54" s="69"/>
      <c r="D54" s="70"/>
      <c r="E54" s="71"/>
      <c r="F54" s="71"/>
      <c r="G54" s="71"/>
      <c r="H54" s="72"/>
    </row>
    <row r="55" spans="1:8" s="75" customFormat="1" ht="23.25" customHeight="1">
      <c r="A55" s="30"/>
      <c r="B55" s="31"/>
      <c r="C55" s="32"/>
      <c r="D55" s="133" t="s">
        <v>100</v>
      </c>
      <c r="E55" s="34"/>
      <c r="F55" s="34"/>
      <c r="G55" s="34"/>
      <c r="H55" s="35"/>
    </row>
    <row r="56" spans="1:8" ht="15.75" customHeight="1">
      <c r="A56" s="112" t="s">
        <v>3</v>
      </c>
      <c r="B56" s="37" t="s">
        <v>141</v>
      </c>
      <c r="C56" s="114" t="s">
        <v>5</v>
      </c>
      <c r="D56" s="115" t="s">
        <v>6</v>
      </c>
      <c r="E56" s="116" t="s">
        <v>7</v>
      </c>
      <c r="F56" s="117" t="s">
        <v>8</v>
      </c>
      <c r="G56" s="117" t="s">
        <v>9</v>
      </c>
      <c r="H56" s="118" t="s">
        <v>63</v>
      </c>
    </row>
    <row r="57" spans="1:8" ht="15.75" customHeight="1">
      <c r="A57" s="21"/>
      <c r="B57" s="43"/>
      <c r="C57" s="44"/>
      <c r="D57" s="45" t="s">
        <v>11</v>
      </c>
      <c r="E57" s="46" t="s">
        <v>64</v>
      </c>
      <c r="F57" s="46" t="s">
        <v>65</v>
      </c>
      <c r="G57" s="46" t="s">
        <v>66</v>
      </c>
      <c r="H57" s="47" t="s">
        <v>15</v>
      </c>
    </row>
    <row r="58" spans="1:8" ht="15.75">
      <c r="A58" s="21">
        <v>1</v>
      </c>
      <c r="B58" s="33" t="s">
        <v>155</v>
      </c>
      <c r="C58" s="54">
        <v>74</v>
      </c>
      <c r="D58" s="58">
        <v>5272.41</v>
      </c>
      <c r="E58" s="56">
        <v>584.5</v>
      </c>
      <c r="F58" s="56">
        <v>1753</v>
      </c>
      <c r="G58" s="56">
        <v>17562.322</v>
      </c>
      <c r="H58" s="57">
        <v>250</v>
      </c>
    </row>
    <row r="59" spans="1:8" ht="15.75">
      <c r="A59" s="21">
        <v>2</v>
      </c>
      <c r="B59" s="33" t="s">
        <v>156</v>
      </c>
      <c r="C59" s="54">
        <v>1</v>
      </c>
      <c r="D59" s="58">
        <v>150</v>
      </c>
      <c r="E59" s="56">
        <v>0</v>
      </c>
      <c r="F59" s="56">
        <v>0</v>
      </c>
      <c r="G59" s="56">
        <v>0</v>
      </c>
      <c r="H59" s="57">
        <v>0</v>
      </c>
    </row>
    <row r="60" spans="1:8" s="136" customFormat="1" ht="15.75">
      <c r="A60" s="135"/>
      <c r="B60" s="132" t="s">
        <v>143</v>
      </c>
      <c r="C60" s="66">
        <f aca="true" t="shared" si="7" ref="C60:H60">SUM(C58:C59)</f>
        <v>75</v>
      </c>
      <c r="D60" s="66">
        <f t="shared" si="7"/>
        <v>5422.41</v>
      </c>
      <c r="E60" s="95">
        <f t="shared" si="7"/>
        <v>584.5</v>
      </c>
      <c r="F60" s="95">
        <f t="shared" si="7"/>
        <v>1753</v>
      </c>
      <c r="G60" s="95">
        <f t="shared" si="7"/>
        <v>17562.322</v>
      </c>
      <c r="H60" s="66">
        <f t="shared" si="7"/>
        <v>250</v>
      </c>
    </row>
    <row r="61" spans="1:8" ht="15.75">
      <c r="A61" s="67"/>
      <c r="B61" s="106"/>
      <c r="C61" s="69"/>
      <c r="D61" s="70"/>
      <c r="E61" s="71"/>
      <c r="F61" s="71"/>
      <c r="G61" s="71"/>
      <c r="H61" s="72"/>
    </row>
    <row r="62" spans="1:8" ht="22.5">
      <c r="A62" s="30"/>
      <c r="B62" s="31"/>
      <c r="C62" s="32"/>
      <c r="D62" s="133" t="s">
        <v>85</v>
      </c>
      <c r="E62" s="34"/>
      <c r="F62" s="34"/>
      <c r="G62" s="34"/>
      <c r="H62" s="35"/>
    </row>
    <row r="63" spans="1:8" ht="31.5">
      <c r="A63" s="112" t="s">
        <v>3</v>
      </c>
      <c r="B63" s="37" t="s">
        <v>141</v>
      </c>
      <c r="C63" s="114" t="s">
        <v>5</v>
      </c>
      <c r="D63" s="115" t="s">
        <v>6</v>
      </c>
      <c r="E63" s="116" t="s">
        <v>7</v>
      </c>
      <c r="F63" s="117" t="s">
        <v>8</v>
      </c>
      <c r="G63" s="117" t="s">
        <v>9</v>
      </c>
      <c r="H63" s="118" t="s">
        <v>63</v>
      </c>
    </row>
    <row r="64" spans="1:8" ht="15.75">
      <c r="A64" s="21"/>
      <c r="B64" s="43"/>
      <c r="C64" s="44"/>
      <c r="D64" s="45" t="s">
        <v>11</v>
      </c>
      <c r="E64" s="46" t="s">
        <v>64</v>
      </c>
      <c r="F64" s="46" t="s">
        <v>65</v>
      </c>
      <c r="G64" s="46" t="s">
        <v>66</v>
      </c>
      <c r="H64" s="47" t="s">
        <v>15</v>
      </c>
    </row>
    <row r="65" spans="1:8" ht="15.75">
      <c r="A65" s="21">
        <v>1</v>
      </c>
      <c r="B65" s="33" t="s">
        <v>145</v>
      </c>
      <c r="C65" s="54">
        <v>1</v>
      </c>
      <c r="D65" s="58">
        <v>3.58</v>
      </c>
      <c r="E65" s="56">
        <v>0.069</v>
      </c>
      <c r="F65" s="56">
        <v>0.0863</v>
      </c>
      <c r="G65" s="56">
        <v>6.474</v>
      </c>
      <c r="H65" s="57">
        <v>3</v>
      </c>
    </row>
    <row r="66" spans="1:8" ht="15.75">
      <c r="A66" s="21">
        <v>2</v>
      </c>
      <c r="B66" s="33" t="s">
        <v>142</v>
      </c>
      <c r="C66" s="54">
        <v>1</v>
      </c>
      <c r="D66" s="58">
        <v>47.51</v>
      </c>
      <c r="E66" s="56">
        <v>0</v>
      </c>
      <c r="F66" s="56">
        <v>0</v>
      </c>
      <c r="G66" s="56">
        <v>0</v>
      </c>
      <c r="H66" s="57">
        <v>0</v>
      </c>
    </row>
    <row r="67" spans="1:8" ht="15.75">
      <c r="A67" s="21">
        <v>3</v>
      </c>
      <c r="B67" s="33" t="s">
        <v>151</v>
      </c>
      <c r="C67" s="54">
        <v>1</v>
      </c>
      <c r="D67" s="58">
        <v>31</v>
      </c>
      <c r="E67" s="56">
        <v>6.712</v>
      </c>
      <c r="F67" s="56">
        <v>13.424</v>
      </c>
      <c r="G67" s="56">
        <v>423</v>
      </c>
      <c r="H67" s="57">
        <v>12</v>
      </c>
    </row>
    <row r="68" spans="1:8" s="136" customFormat="1" ht="15.75">
      <c r="A68" s="135"/>
      <c r="B68" s="132" t="s">
        <v>143</v>
      </c>
      <c r="C68" s="66">
        <f aca="true" t="shared" si="8" ref="C68:H68">SUM(C65:C67)</f>
        <v>3</v>
      </c>
      <c r="D68" s="66">
        <f t="shared" si="8"/>
        <v>82.09</v>
      </c>
      <c r="E68" s="66">
        <f t="shared" si="8"/>
        <v>6.781</v>
      </c>
      <c r="F68" s="66">
        <f t="shared" si="8"/>
        <v>13.510299999999999</v>
      </c>
      <c r="G68" s="66">
        <f t="shared" si="8"/>
        <v>429.474</v>
      </c>
      <c r="H68" s="66">
        <f t="shared" si="8"/>
        <v>15</v>
      </c>
    </row>
    <row r="69" spans="1:8" s="75" customFormat="1" ht="15.75">
      <c r="A69" s="67"/>
      <c r="B69" s="106"/>
      <c r="C69" s="69"/>
      <c r="D69" s="70"/>
      <c r="E69" s="71"/>
      <c r="F69" s="71"/>
      <c r="G69" s="71"/>
      <c r="H69" s="72"/>
    </row>
    <row r="70" spans="1:8" s="75" customFormat="1" ht="22.5">
      <c r="A70" s="30"/>
      <c r="B70" s="31"/>
      <c r="C70" s="32"/>
      <c r="D70" s="133" t="s">
        <v>157</v>
      </c>
      <c r="E70" s="34"/>
      <c r="F70" s="34"/>
      <c r="G70" s="34"/>
      <c r="H70" s="35"/>
    </row>
    <row r="71" spans="1:8" ht="31.5">
      <c r="A71" s="112" t="s">
        <v>3</v>
      </c>
      <c r="B71" s="37" t="s">
        <v>141</v>
      </c>
      <c r="C71" s="114" t="s">
        <v>5</v>
      </c>
      <c r="D71" s="115" t="s">
        <v>6</v>
      </c>
      <c r="E71" s="116" t="s">
        <v>7</v>
      </c>
      <c r="F71" s="117" t="s">
        <v>8</v>
      </c>
      <c r="G71" s="117" t="s">
        <v>9</v>
      </c>
      <c r="H71" s="118" t="s">
        <v>63</v>
      </c>
    </row>
    <row r="72" spans="1:8" ht="15.75">
      <c r="A72" s="21"/>
      <c r="B72" s="43"/>
      <c r="C72" s="44"/>
      <c r="D72" s="45" t="s">
        <v>11</v>
      </c>
      <c r="E72" s="46" t="s">
        <v>158</v>
      </c>
      <c r="F72" s="46" t="s">
        <v>65</v>
      </c>
      <c r="G72" s="46" t="s">
        <v>66</v>
      </c>
      <c r="H72" s="47" t="s">
        <v>15</v>
      </c>
    </row>
    <row r="73" spans="1:8" ht="15.75">
      <c r="A73" s="21">
        <v>1</v>
      </c>
      <c r="B73" s="33" t="s">
        <v>149</v>
      </c>
      <c r="C73" s="54">
        <v>0</v>
      </c>
      <c r="D73" s="58">
        <v>0</v>
      </c>
      <c r="E73" s="56">
        <v>347</v>
      </c>
      <c r="F73" s="56">
        <v>642.246</v>
      </c>
      <c r="G73" s="56">
        <v>0</v>
      </c>
      <c r="H73" s="57">
        <v>0</v>
      </c>
    </row>
    <row r="74" spans="1:8" ht="15.75">
      <c r="A74" s="21">
        <v>2</v>
      </c>
      <c r="B74" s="33" t="s">
        <v>151</v>
      </c>
      <c r="C74" s="54">
        <v>0</v>
      </c>
      <c r="D74" s="58">
        <v>0</v>
      </c>
      <c r="E74" s="56">
        <v>0</v>
      </c>
      <c r="F74" s="56">
        <v>0</v>
      </c>
      <c r="G74" s="56">
        <v>12241</v>
      </c>
      <c r="H74" s="57">
        <v>0</v>
      </c>
    </row>
    <row r="75" spans="1:8" s="136" customFormat="1" ht="15.75">
      <c r="A75" s="135"/>
      <c r="B75" s="132" t="s">
        <v>143</v>
      </c>
      <c r="C75" s="66">
        <f aca="true" t="shared" si="9" ref="C75:H75">SUM(C73:C74)</f>
        <v>0</v>
      </c>
      <c r="D75" s="121">
        <f t="shared" si="9"/>
        <v>0</v>
      </c>
      <c r="E75" s="95">
        <f t="shared" si="9"/>
        <v>347</v>
      </c>
      <c r="F75" s="66">
        <f t="shared" si="9"/>
        <v>642.246</v>
      </c>
      <c r="G75" s="95">
        <f t="shared" si="9"/>
        <v>12241</v>
      </c>
      <c r="H75" s="66">
        <f t="shared" si="9"/>
        <v>0</v>
      </c>
    </row>
    <row r="76" spans="1:8" ht="15.75">
      <c r="A76" s="67"/>
      <c r="B76" s="106"/>
      <c r="C76" s="69"/>
      <c r="D76" s="70"/>
      <c r="E76" s="71"/>
      <c r="F76" s="71"/>
      <c r="G76" s="71"/>
      <c r="H76" s="72"/>
    </row>
    <row r="77" spans="1:8" ht="22.5">
      <c r="A77" s="30"/>
      <c r="B77" s="31"/>
      <c r="C77" s="32"/>
      <c r="D77" s="133" t="s">
        <v>83</v>
      </c>
      <c r="E77" s="34"/>
      <c r="F77" s="34"/>
      <c r="G77" s="34"/>
      <c r="H77" s="35"/>
    </row>
    <row r="78" spans="1:8" ht="31.5">
      <c r="A78" s="112" t="s">
        <v>3</v>
      </c>
      <c r="B78" s="37" t="s">
        <v>141</v>
      </c>
      <c r="C78" s="114" t="s">
        <v>5</v>
      </c>
      <c r="D78" s="115" t="s">
        <v>6</v>
      </c>
      <c r="E78" s="116" t="s">
        <v>7</v>
      </c>
      <c r="F78" s="117" t="s">
        <v>8</v>
      </c>
      <c r="G78" s="117" t="s">
        <v>9</v>
      </c>
      <c r="H78" s="118" t="s">
        <v>63</v>
      </c>
    </row>
    <row r="79" spans="1:8" ht="15.75">
      <c r="A79" s="21"/>
      <c r="B79" s="43"/>
      <c r="C79" s="44"/>
      <c r="D79" s="45" t="s">
        <v>11</v>
      </c>
      <c r="E79" s="46" t="s">
        <v>64</v>
      </c>
      <c r="F79" s="46" t="s">
        <v>65</v>
      </c>
      <c r="G79" s="46" t="s">
        <v>66</v>
      </c>
      <c r="H79" s="47" t="s">
        <v>15</v>
      </c>
    </row>
    <row r="80" spans="1:8" ht="15.75">
      <c r="A80" s="21">
        <v>1</v>
      </c>
      <c r="B80" s="14" t="s">
        <v>149</v>
      </c>
      <c r="C80" s="54">
        <v>3</v>
      </c>
      <c r="D80" s="58">
        <v>56</v>
      </c>
      <c r="E80" s="56">
        <v>0</v>
      </c>
      <c r="F80" s="56">
        <v>0</v>
      </c>
      <c r="G80" s="56">
        <v>36</v>
      </c>
      <c r="H80" s="57">
        <v>6</v>
      </c>
    </row>
    <row r="81" spans="1:8" ht="15.75">
      <c r="A81" s="21">
        <v>2</v>
      </c>
      <c r="B81" s="14" t="s">
        <v>147</v>
      </c>
      <c r="C81" s="54">
        <v>1</v>
      </c>
      <c r="D81" s="58">
        <v>296.41</v>
      </c>
      <c r="E81" s="56">
        <v>0</v>
      </c>
      <c r="F81" s="56">
        <v>0</v>
      </c>
      <c r="G81" s="56">
        <v>0</v>
      </c>
      <c r="H81" s="57">
        <v>0</v>
      </c>
    </row>
    <row r="82" spans="1:8" ht="15.75">
      <c r="A82" s="21">
        <v>3</v>
      </c>
      <c r="B82" s="14" t="s">
        <v>142</v>
      </c>
      <c r="C82" s="54">
        <v>8</v>
      </c>
      <c r="D82" s="58">
        <v>147.9</v>
      </c>
      <c r="E82" s="56">
        <v>10.918</v>
      </c>
      <c r="F82" s="56">
        <v>43.672</v>
      </c>
      <c r="G82" s="56">
        <v>66.894</v>
      </c>
      <c r="H82" s="57">
        <v>35</v>
      </c>
    </row>
    <row r="83" spans="1:8" ht="15.75">
      <c r="A83" s="21">
        <v>4</v>
      </c>
      <c r="B83" s="14" t="s">
        <v>159</v>
      </c>
      <c r="C83" s="54">
        <v>2</v>
      </c>
      <c r="D83" s="58">
        <v>157.8</v>
      </c>
      <c r="E83" s="56">
        <v>57.7</v>
      </c>
      <c r="F83" s="56">
        <v>202.12</v>
      </c>
      <c r="G83" s="56">
        <v>6820</v>
      </c>
      <c r="H83" s="57">
        <v>420</v>
      </c>
    </row>
    <row r="84" spans="1:8" ht="15.75">
      <c r="A84" s="21">
        <v>5</v>
      </c>
      <c r="B84" s="14" t="s">
        <v>160</v>
      </c>
      <c r="C84" s="54">
        <v>1</v>
      </c>
      <c r="D84" s="58">
        <v>5</v>
      </c>
      <c r="E84" s="56">
        <v>0.297</v>
      </c>
      <c r="F84" s="56">
        <v>1.485</v>
      </c>
      <c r="G84" s="56">
        <v>34</v>
      </c>
      <c r="H84" s="57">
        <v>12</v>
      </c>
    </row>
    <row r="85" spans="1:8" ht="15.75">
      <c r="A85" s="21">
        <v>6</v>
      </c>
      <c r="B85" s="14" t="s">
        <v>151</v>
      </c>
      <c r="C85" s="54">
        <v>10</v>
      </c>
      <c r="D85" s="58">
        <v>156.72</v>
      </c>
      <c r="E85" s="56">
        <v>26</v>
      </c>
      <c r="F85" s="56">
        <v>54.608</v>
      </c>
      <c r="G85" s="56">
        <v>1839</v>
      </c>
      <c r="H85" s="57">
        <v>160</v>
      </c>
    </row>
    <row r="86" spans="1:8" s="136" customFormat="1" ht="15.75">
      <c r="A86" s="135"/>
      <c r="B86" s="132" t="s">
        <v>143</v>
      </c>
      <c r="C86" s="66">
        <f aca="true" t="shared" si="10" ref="C86:H86">SUM(C80:C85)</f>
        <v>25</v>
      </c>
      <c r="D86" s="66">
        <f t="shared" si="10"/>
        <v>819.8300000000002</v>
      </c>
      <c r="E86" s="66">
        <f t="shared" si="10"/>
        <v>94.91499999999999</v>
      </c>
      <c r="F86" s="66">
        <f t="shared" si="10"/>
        <v>301.885</v>
      </c>
      <c r="G86" s="66">
        <f t="shared" si="10"/>
        <v>8795.894</v>
      </c>
      <c r="H86" s="66">
        <f t="shared" si="10"/>
        <v>633</v>
      </c>
    </row>
    <row r="87" spans="1:8" ht="15.75">
      <c r="A87" s="67"/>
      <c r="B87" s="106"/>
      <c r="C87" s="69"/>
      <c r="D87" s="70"/>
      <c r="E87" s="71"/>
      <c r="F87" s="71"/>
      <c r="G87" s="71"/>
      <c r="H87" s="72"/>
    </row>
    <row r="88" spans="1:8" ht="22.5">
      <c r="A88" s="30"/>
      <c r="B88" s="31"/>
      <c r="C88" s="32"/>
      <c r="D88" s="133" t="s">
        <v>82</v>
      </c>
      <c r="E88" s="34"/>
      <c r="F88" s="34"/>
      <c r="G88" s="34"/>
      <c r="H88" s="35"/>
    </row>
    <row r="89" spans="1:8" ht="31.5">
      <c r="A89" s="112" t="s">
        <v>3</v>
      </c>
      <c r="B89" s="37" t="s">
        <v>141</v>
      </c>
      <c r="C89" s="114" t="s">
        <v>5</v>
      </c>
      <c r="D89" s="115" t="s">
        <v>6</v>
      </c>
      <c r="E89" s="116" t="s">
        <v>7</v>
      </c>
      <c r="F89" s="117" t="s">
        <v>8</v>
      </c>
      <c r="G89" s="117" t="s">
        <v>9</v>
      </c>
      <c r="H89" s="118" t="s">
        <v>63</v>
      </c>
    </row>
    <row r="90" spans="1:8" ht="15.75">
      <c r="A90" s="21"/>
      <c r="B90" s="43"/>
      <c r="C90" s="44"/>
      <c r="D90" s="45" t="s">
        <v>11</v>
      </c>
      <c r="E90" s="46" t="s">
        <v>64</v>
      </c>
      <c r="F90" s="46" t="s">
        <v>65</v>
      </c>
      <c r="G90" s="46" t="s">
        <v>66</v>
      </c>
      <c r="H90" s="47" t="s">
        <v>15</v>
      </c>
    </row>
    <row r="91" spans="1:8" ht="15.75">
      <c r="A91" s="137">
        <v>1</v>
      </c>
      <c r="B91" s="14" t="s">
        <v>161</v>
      </c>
      <c r="C91" s="54">
        <v>3</v>
      </c>
      <c r="D91" s="58">
        <v>15</v>
      </c>
      <c r="E91" s="56">
        <v>0</v>
      </c>
      <c r="F91" s="56">
        <v>0</v>
      </c>
      <c r="G91" s="56">
        <v>0</v>
      </c>
      <c r="H91" s="57">
        <v>0</v>
      </c>
    </row>
    <row r="92" spans="1:8" ht="15.75">
      <c r="A92" s="21">
        <v>2</v>
      </c>
      <c r="B92" s="14" t="s">
        <v>149</v>
      </c>
      <c r="C92" s="54">
        <v>17</v>
      </c>
      <c r="D92" s="58">
        <v>537.35</v>
      </c>
      <c r="E92" s="56">
        <v>38.871</v>
      </c>
      <c r="F92" s="56">
        <v>58.306</v>
      </c>
      <c r="G92" s="56">
        <v>6031.135</v>
      </c>
      <c r="H92" s="57">
        <v>53</v>
      </c>
    </row>
    <row r="93" spans="1:8" ht="15.75">
      <c r="A93" s="137">
        <v>3</v>
      </c>
      <c r="B93" s="33" t="s">
        <v>162</v>
      </c>
      <c r="C93" s="54">
        <v>1</v>
      </c>
      <c r="D93" s="58">
        <v>5</v>
      </c>
      <c r="E93" s="56">
        <v>0</v>
      </c>
      <c r="F93" s="56">
        <v>0</v>
      </c>
      <c r="G93" s="56">
        <v>65.28</v>
      </c>
      <c r="H93" s="57">
        <v>5</v>
      </c>
    </row>
    <row r="94" spans="1:8" ht="15.75">
      <c r="A94" s="21">
        <v>4</v>
      </c>
      <c r="B94" s="33" t="s">
        <v>163</v>
      </c>
      <c r="C94" s="54">
        <v>1</v>
      </c>
      <c r="D94" s="58">
        <v>61</v>
      </c>
      <c r="E94" s="56">
        <v>0.037</v>
      </c>
      <c r="F94" s="56">
        <v>0.046</v>
      </c>
      <c r="G94" s="56">
        <v>12.2</v>
      </c>
      <c r="H94" s="57">
        <v>4</v>
      </c>
    </row>
    <row r="95" spans="1:8" ht="15.75">
      <c r="A95" s="137">
        <v>5</v>
      </c>
      <c r="B95" s="33" t="s">
        <v>164</v>
      </c>
      <c r="C95" s="54">
        <v>7</v>
      </c>
      <c r="D95" s="58">
        <f>740.186-430.91</f>
        <v>309.276</v>
      </c>
      <c r="E95" s="56">
        <v>213.661</v>
      </c>
      <c r="F95" s="56">
        <v>256.393</v>
      </c>
      <c r="G95" s="56">
        <v>4914.201</v>
      </c>
      <c r="H95" s="57">
        <v>170</v>
      </c>
    </row>
    <row r="96" spans="1:8" ht="15.75">
      <c r="A96" s="21">
        <v>6</v>
      </c>
      <c r="B96" s="33" t="s">
        <v>165</v>
      </c>
      <c r="C96" s="54">
        <v>31</v>
      </c>
      <c r="D96" s="58">
        <v>148.01</v>
      </c>
      <c r="E96" s="56">
        <v>147.217</v>
      </c>
      <c r="F96" s="56">
        <v>515.261</v>
      </c>
      <c r="G96" s="56">
        <v>3391</v>
      </c>
      <c r="H96" s="57">
        <v>200</v>
      </c>
    </row>
    <row r="97" spans="1:8" ht="15.75">
      <c r="A97" s="137">
        <v>7</v>
      </c>
      <c r="B97" s="33" t="s">
        <v>146</v>
      </c>
      <c r="C97" s="54">
        <v>2</v>
      </c>
      <c r="D97" s="58">
        <v>10</v>
      </c>
      <c r="E97" s="56">
        <v>0</v>
      </c>
      <c r="F97" s="56">
        <v>0</v>
      </c>
      <c r="G97" s="56">
        <v>0</v>
      </c>
      <c r="H97" s="57">
        <v>0</v>
      </c>
    </row>
    <row r="98" spans="1:8" ht="15.75">
      <c r="A98" s="21">
        <v>8</v>
      </c>
      <c r="B98" s="33" t="s">
        <v>147</v>
      </c>
      <c r="C98" s="54">
        <v>7</v>
      </c>
      <c r="D98" s="58">
        <f>251.56+212.95</f>
        <v>464.51</v>
      </c>
      <c r="E98" s="56">
        <v>30.36</v>
      </c>
      <c r="F98" s="56">
        <v>182.16</v>
      </c>
      <c r="G98" s="56">
        <v>630</v>
      </c>
      <c r="H98" s="57">
        <v>115</v>
      </c>
    </row>
    <row r="99" spans="1:8" ht="15.75">
      <c r="A99" s="137">
        <v>9</v>
      </c>
      <c r="B99" s="33" t="s">
        <v>166</v>
      </c>
      <c r="C99" s="54">
        <v>11</v>
      </c>
      <c r="D99" s="58">
        <v>91.24</v>
      </c>
      <c r="E99" s="56">
        <v>0</v>
      </c>
      <c r="F99" s="56">
        <v>0</v>
      </c>
      <c r="G99" s="56">
        <v>4</v>
      </c>
      <c r="H99" s="57">
        <v>0</v>
      </c>
    </row>
    <row r="100" spans="1:8" ht="15.75">
      <c r="A100" s="21">
        <v>10</v>
      </c>
      <c r="B100" s="33" t="s">
        <v>167</v>
      </c>
      <c r="C100" s="54">
        <v>5</v>
      </c>
      <c r="D100" s="58">
        <v>131.91</v>
      </c>
      <c r="E100" s="56">
        <v>45.578</v>
      </c>
      <c r="F100" s="56">
        <v>100.272</v>
      </c>
      <c r="G100" s="56">
        <v>1796</v>
      </c>
      <c r="H100" s="57">
        <v>250</v>
      </c>
    </row>
    <row r="101" spans="1:8" ht="15.75">
      <c r="A101" s="137">
        <v>11</v>
      </c>
      <c r="B101" s="14" t="s">
        <v>142</v>
      </c>
      <c r="C101" s="54">
        <v>1</v>
      </c>
      <c r="D101" s="58">
        <v>32.54</v>
      </c>
      <c r="E101" s="56">
        <v>0</v>
      </c>
      <c r="F101" s="56">
        <v>0</v>
      </c>
      <c r="G101" s="56">
        <v>0</v>
      </c>
      <c r="H101" s="57">
        <v>0</v>
      </c>
    </row>
    <row r="102" spans="1:8" ht="15.75">
      <c r="A102" s="21">
        <v>12</v>
      </c>
      <c r="B102" s="14" t="s">
        <v>154</v>
      </c>
      <c r="C102" s="54">
        <v>10</v>
      </c>
      <c r="D102" s="58">
        <v>640.75</v>
      </c>
      <c r="E102" s="56">
        <v>83.763</v>
      </c>
      <c r="F102" s="56">
        <v>251.289</v>
      </c>
      <c r="G102" s="56">
        <v>1940.565</v>
      </c>
      <c r="H102" s="57">
        <v>100</v>
      </c>
    </row>
    <row r="103" spans="1:8" s="136" customFormat="1" ht="15.75">
      <c r="A103" s="99"/>
      <c r="B103" s="132" t="s">
        <v>143</v>
      </c>
      <c r="C103" s="13">
        <f aca="true" t="shared" si="11" ref="C103:H103">SUM(C91:C102)</f>
        <v>96</v>
      </c>
      <c r="D103" s="13">
        <f t="shared" si="11"/>
        <v>2446.5860000000002</v>
      </c>
      <c r="E103" s="13">
        <f t="shared" si="11"/>
        <v>559.4870000000001</v>
      </c>
      <c r="F103" s="13">
        <f t="shared" si="11"/>
        <v>1363.7269999999999</v>
      </c>
      <c r="G103" s="13">
        <f t="shared" si="11"/>
        <v>18784.380999999998</v>
      </c>
      <c r="H103" s="13">
        <f t="shared" si="11"/>
        <v>897</v>
      </c>
    </row>
    <row r="104" spans="1:8" ht="15.75">
      <c r="A104" s="75"/>
      <c r="B104" s="81"/>
      <c r="C104" s="90"/>
      <c r="D104" s="91"/>
      <c r="E104" s="92"/>
      <c r="F104" s="92"/>
      <c r="G104" s="92"/>
      <c r="H104" s="93"/>
    </row>
    <row r="105" spans="1:8" ht="23.25" customHeight="1">
      <c r="A105" s="30"/>
      <c r="B105" s="31"/>
      <c r="C105" s="32"/>
      <c r="D105" s="133" t="s">
        <v>93</v>
      </c>
      <c r="E105" s="34"/>
      <c r="F105" s="34"/>
      <c r="G105" s="34"/>
      <c r="H105" s="35"/>
    </row>
    <row r="106" spans="1:8" ht="23.25" customHeight="1">
      <c r="A106" s="36" t="s">
        <v>3</v>
      </c>
      <c r="B106" s="37" t="s">
        <v>141</v>
      </c>
      <c r="C106" s="38" t="s">
        <v>5</v>
      </c>
      <c r="D106" s="39" t="s">
        <v>6</v>
      </c>
      <c r="E106" s="40" t="s">
        <v>7</v>
      </c>
      <c r="F106" s="41" t="s">
        <v>8</v>
      </c>
      <c r="G106" s="41" t="s">
        <v>9</v>
      </c>
      <c r="H106" s="42" t="s">
        <v>63</v>
      </c>
    </row>
    <row r="107" spans="1:8" ht="23.25" customHeight="1">
      <c r="A107" s="21"/>
      <c r="B107" s="43"/>
      <c r="C107" s="44"/>
      <c r="D107" s="45" t="s">
        <v>11</v>
      </c>
      <c r="E107" s="46" t="s">
        <v>64</v>
      </c>
      <c r="F107" s="46" t="s">
        <v>65</v>
      </c>
      <c r="G107" s="46" t="s">
        <v>66</v>
      </c>
      <c r="H107" s="47" t="s">
        <v>15</v>
      </c>
    </row>
    <row r="108" spans="1:8" ht="15.75">
      <c r="A108" s="21">
        <v>1</v>
      </c>
      <c r="B108" s="14" t="s">
        <v>152</v>
      </c>
      <c r="C108" s="54">
        <v>1</v>
      </c>
      <c r="D108" s="58">
        <v>71.32</v>
      </c>
      <c r="E108" s="56">
        <v>0</v>
      </c>
      <c r="F108" s="56">
        <v>0</v>
      </c>
      <c r="G108" s="56">
        <v>17</v>
      </c>
      <c r="H108" s="57">
        <v>0</v>
      </c>
    </row>
    <row r="109" spans="1:8" ht="15.75">
      <c r="A109" s="137">
        <v>2</v>
      </c>
      <c r="B109" s="14" t="s">
        <v>146</v>
      </c>
      <c r="C109" s="54">
        <v>2</v>
      </c>
      <c r="D109" s="58">
        <v>88.17</v>
      </c>
      <c r="E109" s="56">
        <v>0</v>
      </c>
      <c r="F109" s="56">
        <v>0</v>
      </c>
      <c r="G109" s="56">
        <v>0</v>
      </c>
      <c r="H109" s="57">
        <v>5</v>
      </c>
    </row>
    <row r="110" spans="1:8" ht="15.75">
      <c r="A110" s="21">
        <v>3</v>
      </c>
      <c r="B110" s="14" t="s">
        <v>156</v>
      </c>
      <c r="C110" s="54">
        <v>1</v>
      </c>
      <c r="D110" s="58">
        <v>32.37</v>
      </c>
      <c r="E110" s="56">
        <v>0</v>
      </c>
      <c r="F110" s="56">
        <v>0</v>
      </c>
      <c r="G110" s="56">
        <v>0</v>
      </c>
      <c r="H110" s="57">
        <v>0</v>
      </c>
    </row>
    <row r="111" spans="1:8" ht="18.75" customHeight="1">
      <c r="A111" s="137">
        <v>4</v>
      </c>
      <c r="B111" s="14" t="s">
        <v>147</v>
      </c>
      <c r="C111" s="54">
        <v>1</v>
      </c>
      <c r="D111" s="58">
        <v>24.8</v>
      </c>
      <c r="E111" s="56">
        <v>0</v>
      </c>
      <c r="F111" s="56">
        <v>0</v>
      </c>
      <c r="G111" s="56">
        <v>0</v>
      </c>
      <c r="H111" s="57">
        <v>0</v>
      </c>
    </row>
    <row r="112" spans="1:8" ht="15.75" customHeight="1">
      <c r="A112" s="21">
        <v>5</v>
      </c>
      <c r="B112" s="14" t="s">
        <v>150</v>
      </c>
      <c r="C112" s="54">
        <v>0</v>
      </c>
      <c r="D112" s="58">
        <v>0</v>
      </c>
      <c r="E112" s="56">
        <v>79.5</v>
      </c>
      <c r="F112" s="56">
        <v>119.25</v>
      </c>
      <c r="G112" s="56">
        <v>4832</v>
      </c>
      <c r="H112" s="57">
        <v>0</v>
      </c>
    </row>
    <row r="113" spans="1:8" ht="15.75">
      <c r="A113" s="137">
        <v>6</v>
      </c>
      <c r="B113" s="14" t="s">
        <v>142</v>
      </c>
      <c r="C113" s="54">
        <v>4</v>
      </c>
      <c r="D113" s="58">
        <v>329.4</v>
      </c>
      <c r="E113" s="56">
        <v>0.569</v>
      </c>
      <c r="F113" s="56">
        <v>0.569</v>
      </c>
      <c r="G113" s="56">
        <v>96.381</v>
      </c>
      <c r="H113" s="57">
        <v>20</v>
      </c>
    </row>
    <row r="114" spans="1:8" ht="15.75">
      <c r="A114" s="21">
        <v>7</v>
      </c>
      <c r="B114" s="14" t="s">
        <v>160</v>
      </c>
      <c r="C114" s="54">
        <v>0</v>
      </c>
      <c r="D114" s="58">
        <v>0</v>
      </c>
      <c r="E114" s="56">
        <v>11.262</v>
      </c>
      <c r="F114" s="56">
        <v>19.708</v>
      </c>
      <c r="G114" s="56">
        <v>214</v>
      </c>
      <c r="H114" s="57">
        <v>5</v>
      </c>
    </row>
    <row r="115" spans="1:8" ht="15.75">
      <c r="A115" s="137">
        <v>8</v>
      </c>
      <c r="B115" s="14" t="s">
        <v>151</v>
      </c>
      <c r="C115" s="54">
        <v>0</v>
      </c>
      <c r="D115" s="58">
        <v>0</v>
      </c>
      <c r="E115" s="56">
        <v>48.066</v>
      </c>
      <c r="F115" s="56">
        <f>134.584</f>
        <v>134.584</v>
      </c>
      <c r="G115" s="56">
        <v>4437</v>
      </c>
      <c r="H115" s="57">
        <v>140</v>
      </c>
    </row>
    <row r="116" spans="1:8" s="136" customFormat="1" ht="15.75">
      <c r="A116" s="99"/>
      <c r="B116" s="132" t="s">
        <v>143</v>
      </c>
      <c r="C116" s="66">
        <f aca="true" t="shared" si="12" ref="C116:H116">SUM(C108:C115)</f>
        <v>9</v>
      </c>
      <c r="D116" s="66">
        <f t="shared" si="12"/>
        <v>546.06</v>
      </c>
      <c r="E116" s="66">
        <f t="shared" si="12"/>
        <v>139.397</v>
      </c>
      <c r="F116" s="13">
        <f t="shared" si="12"/>
        <v>274.111</v>
      </c>
      <c r="G116" s="13">
        <f t="shared" si="12"/>
        <v>9596.381000000001</v>
      </c>
      <c r="H116" s="13">
        <f t="shared" si="12"/>
        <v>170</v>
      </c>
    </row>
    <row r="117" spans="1:8" ht="15.75">
      <c r="A117" s="67"/>
      <c r="B117" s="106"/>
      <c r="C117" s="69"/>
      <c r="D117" s="70"/>
      <c r="E117" s="71"/>
      <c r="F117" s="71"/>
      <c r="G117" s="71"/>
      <c r="H117" s="72"/>
    </row>
    <row r="118" spans="1:8" ht="22.5">
      <c r="A118" s="30"/>
      <c r="B118" s="31"/>
      <c r="C118" s="32"/>
      <c r="D118" s="133" t="s">
        <v>69</v>
      </c>
      <c r="E118" s="34"/>
      <c r="F118" s="34"/>
      <c r="G118" s="34"/>
      <c r="H118" s="35"/>
    </row>
    <row r="119" spans="1:8" ht="31.5">
      <c r="A119" s="36" t="s">
        <v>3</v>
      </c>
      <c r="B119" s="37" t="s">
        <v>141</v>
      </c>
      <c r="C119" s="114" t="s">
        <v>5</v>
      </c>
      <c r="D119" s="115" t="s">
        <v>6</v>
      </c>
      <c r="E119" s="116" t="s">
        <v>7</v>
      </c>
      <c r="F119" s="41" t="s">
        <v>8</v>
      </c>
      <c r="G119" s="41" t="s">
        <v>9</v>
      </c>
      <c r="H119" s="42" t="s">
        <v>63</v>
      </c>
    </row>
    <row r="120" spans="1:8" ht="15.75">
      <c r="A120" s="21"/>
      <c r="B120" s="43"/>
      <c r="C120" s="44"/>
      <c r="D120" s="45" t="s">
        <v>11</v>
      </c>
      <c r="E120" s="46" t="s">
        <v>64</v>
      </c>
      <c r="F120" s="46" t="s">
        <v>65</v>
      </c>
      <c r="G120" s="46" t="s">
        <v>66</v>
      </c>
      <c r="H120" s="47" t="s">
        <v>15</v>
      </c>
    </row>
    <row r="121" spans="1:8" ht="15.75">
      <c r="A121" s="21">
        <v>1</v>
      </c>
      <c r="B121" s="14" t="s">
        <v>148</v>
      </c>
      <c r="C121" s="54">
        <v>2</v>
      </c>
      <c r="D121" s="58">
        <v>54.96</v>
      </c>
      <c r="E121" s="56">
        <v>0</v>
      </c>
      <c r="F121" s="56">
        <v>0</v>
      </c>
      <c r="G121" s="56">
        <v>0</v>
      </c>
      <c r="H121" s="57">
        <v>0</v>
      </c>
    </row>
    <row r="122" spans="1:8" s="136" customFormat="1" ht="15.75">
      <c r="A122" s="99"/>
      <c r="B122" s="132" t="s">
        <v>143</v>
      </c>
      <c r="C122" s="13">
        <f aca="true" t="shared" si="13" ref="C122:H122">SUM(C121)</f>
        <v>2</v>
      </c>
      <c r="D122" s="13">
        <f t="shared" si="13"/>
        <v>54.96</v>
      </c>
      <c r="E122" s="15">
        <f t="shared" si="13"/>
        <v>0</v>
      </c>
      <c r="F122" s="15">
        <f t="shared" si="13"/>
        <v>0</v>
      </c>
      <c r="G122" s="15">
        <f t="shared" si="13"/>
        <v>0</v>
      </c>
      <c r="H122" s="13">
        <f t="shared" si="13"/>
        <v>0</v>
      </c>
    </row>
    <row r="123" spans="1:8" ht="15.75">
      <c r="A123" s="75"/>
      <c r="B123" s="81"/>
      <c r="C123" s="90"/>
      <c r="D123" s="91"/>
      <c r="E123" s="92"/>
      <c r="F123" s="92"/>
      <c r="G123" s="92"/>
      <c r="H123" s="93"/>
    </row>
    <row r="124" spans="1:8" ht="22.5">
      <c r="A124" s="30"/>
      <c r="B124" s="31"/>
      <c r="C124" s="32"/>
      <c r="D124" s="133" t="s">
        <v>168</v>
      </c>
      <c r="E124" s="34"/>
      <c r="F124" s="34"/>
      <c r="G124" s="34"/>
      <c r="H124" s="35"/>
    </row>
    <row r="125" spans="1:8" ht="31.5">
      <c r="A125" s="36" t="s">
        <v>3</v>
      </c>
      <c r="B125" s="37" t="s">
        <v>141</v>
      </c>
      <c r="C125" s="114" t="s">
        <v>5</v>
      </c>
      <c r="D125" s="115" t="s">
        <v>6</v>
      </c>
      <c r="E125" s="116" t="s">
        <v>7</v>
      </c>
      <c r="F125" s="41" t="s">
        <v>8</v>
      </c>
      <c r="G125" s="41" t="s">
        <v>9</v>
      </c>
      <c r="H125" s="42" t="s">
        <v>63</v>
      </c>
    </row>
    <row r="126" spans="1:8" ht="15.75">
      <c r="A126" s="21"/>
      <c r="B126" s="43"/>
      <c r="C126" s="44"/>
      <c r="D126" s="45" t="s">
        <v>11</v>
      </c>
      <c r="E126" s="46" t="s">
        <v>64</v>
      </c>
      <c r="F126" s="46" t="s">
        <v>65</v>
      </c>
      <c r="G126" s="46" t="s">
        <v>66</v>
      </c>
      <c r="H126" s="47" t="s">
        <v>15</v>
      </c>
    </row>
    <row r="127" spans="1:8" ht="15.75">
      <c r="A127" s="21">
        <v>1</v>
      </c>
      <c r="B127" s="33" t="s">
        <v>147</v>
      </c>
      <c r="C127" s="54">
        <v>1</v>
      </c>
      <c r="D127" s="58">
        <v>5</v>
      </c>
      <c r="E127" s="56">
        <v>0</v>
      </c>
      <c r="F127" s="56">
        <v>0</v>
      </c>
      <c r="G127" s="56">
        <v>0</v>
      </c>
      <c r="H127" s="57">
        <v>0</v>
      </c>
    </row>
    <row r="128" spans="1:8" ht="15.75">
      <c r="A128" s="99"/>
      <c r="B128" s="132" t="s">
        <v>143</v>
      </c>
      <c r="C128" s="13">
        <f aca="true" t="shared" si="14" ref="C128:H128">SUM(C127)</f>
        <v>1</v>
      </c>
      <c r="D128" s="14">
        <f t="shared" si="14"/>
        <v>5</v>
      </c>
      <c r="E128" s="15">
        <f t="shared" si="14"/>
        <v>0</v>
      </c>
      <c r="F128" s="15">
        <f t="shared" si="14"/>
        <v>0</v>
      </c>
      <c r="G128" s="15">
        <f t="shared" si="14"/>
        <v>0</v>
      </c>
      <c r="H128" s="13">
        <f t="shared" si="14"/>
        <v>0</v>
      </c>
    </row>
    <row r="129" spans="1:8" ht="15.75">
      <c r="A129" s="75"/>
      <c r="B129" s="81"/>
      <c r="C129" s="90"/>
      <c r="D129" s="91"/>
      <c r="E129" s="92"/>
      <c r="F129" s="92"/>
      <c r="G129" s="92"/>
      <c r="H129" s="93"/>
    </row>
    <row r="130" spans="1:8" ht="15.75">
      <c r="A130" s="75"/>
      <c r="B130" s="81"/>
      <c r="C130" s="90"/>
      <c r="D130" s="91"/>
      <c r="E130" s="92"/>
      <c r="F130" s="92"/>
      <c r="G130" s="92"/>
      <c r="H130" s="93"/>
    </row>
    <row r="131" spans="1:8" ht="22.5">
      <c r="A131" s="30"/>
      <c r="B131" s="31"/>
      <c r="C131" s="32"/>
      <c r="D131" s="133" t="s">
        <v>112</v>
      </c>
      <c r="E131" s="34"/>
      <c r="F131" s="34"/>
      <c r="G131" s="34"/>
      <c r="H131" s="35"/>
    </row>
    <row r="132" spans="1:8" ht="31.5">
      <c r="A132" s="112" t="s">
        <v>3</v>
      </c>
      <c r="B132" s="37" t="s">
        <v>141</v>
      </c>
      <c r="C132" s="114" t="s">
        <v>5</v>
      </c>
      <c r="D132" s="115" t="s">
        <v>6</v>
      </c>
      <c r="E132" s="116" t="s">
        <v>7</v>
      </c>
      <c r="F132" s="117" t="s">
        <v>8</v>
      </c>
      <c r="G132" s="117" t="s">
        <v>9</v>
      </c>
      <c r="H132" s="118" t="s">
        <v>63</v>
      </c>
    </row>
    <row r="133" spans="1:8" ht="15.75">
      <c r="A133" s="21"/>
      <c r="B133" s="43"/>
      <c r="C133" s="44"/>
      <c r="D133" s="45" t="s">
        <v>11</v>
      </c>
      <c r="E133" s="46" t="s">
        <v>64</v>
      </c>
      <c r="F133" s="46" t="s">
        <v>65</v>
      </c>
      <c r="G133" s="46" t="s">
        <v>66</v>
      </c>
      <c r="H133" s="47" t="s">
        <v>15</v>
      </c>
    </row>
    <row r="134" spans="1:8" ht="15.75">
      <c r="A134" s="21">
        <v>1</v>
      </c>
      <c r="B134" s="14" t="s">
        <v>151</v>
      </c>
      <c r="C134" s="54">
        <v>0</v>
      </c>
      <c r="D134" s="58">
        <v>0</v>
      </c>
      <c r="E134" s="56">
        <v>0</v>
      </c>
      <c r="F134" s="56">
        <v>0</v>
      </c>
      <c r="G134" s="56">
        <v>10</v>
      </c>
      <c r="H134" s="57">
        <v>0</v>
      </c>
    </row>
    <row r="135" spans="1:8" ht="15.75">
      <c r="A135" s="21">
        <v>2</v>
      </c>
      <c r="B135" s="14" t="s">
        <v>169</v>
      </c>
      <c r="C135" s="54">
        <v>8</v>
      </c>
      <c r="D135" s="58">
        <v>239.54</v>
      </c>
      <c r="E135" s="56">
        <v>0</v>
      </c>
      <c r="F135" s="56">
        <v>0</v>
      </c>
      <c r="G135" s="56">
        <v>223.217</v>
      </c>
      <c r="H135" s="57">
        <v>0</v>
      </c>
    </row>
    <row r="136" spans="1:8" ht="15.75">
      <c r="A136" s="21">
        <v>3</v>
      </c>
      <c r="B136" s="14" t="s">
        <v>170</v>
      </c>
      <c r="C136" s="54">
        <v>4</v>
      </c>
      <c r="D136" s="58">
        <v>1075</v>
      </c>
      <c r="E136" s="56">
        <v>5.671</v>
      </c>
      <c r="F136" s="56">
        <v>24.505</v>
      </c>
      <c r="G136" s="56">
        <v>130</v>
      </c>
      <c r="H136" s="57">
        <v>30</v>
      </c>
    </row>
    <row r="137" spans="1:8" ht="15.75">
      <c r="A137" s="21">
        <v>4</v>
      </c>
      <c r="B137" s="14" t="s">
        <v>159</v>
      </c>
      <c r="C137" s="54">
        <v>0</v>
      </c>
      <c r="D137" s="58">
        <v>0</v>
      </c>
      <c r="E137" s="56">
        <v>0</v>
      </c>
      <c r="F137" s="56">
        <v>0</v>
      </c>
      <c r="G137" s="56">
        <v>0</v>
      </c>
      <c r="H137" s="57">
        <v>0</v>
      </c>
    </row>
    <row r="138" spans="1:8" ht="15.75">
      <c r="A138" s="99"/>
      <c r="B138" s="132" t="s">
        <v>143</v>
      </c>
      <c r="C138" s="13">
        <f aca="true" t="shared" si="15" ref="C138:H138">SUM(C134:C137)</f>
        <v>12</v>
      </c>
      <c r="D138" s="13">
        <f t="shared" si="15"/>
        <v>1314.54</v>
      </c>
      <c r="E138" s="13">
        <f t="shared" si="15"/>
        <v>5.671</v>
      </c>
      <c r="F138" s="13">
        <f t="shared" si="15"/>
        <v>24.505</v>
      </c>
      <c r="G138" s="13">
        <f t="shared" si="15"/>
        <v>363.217</v>
      </c>
      <c r="H138" s="13">
        <f t="shared" si="15"/>
        <v>30</v>
      </c>
    </row>
    <row r="139" spans="1:8" ht="15.75">
      <c r="A139" s="75"/>
      <c r="B139" s="81"/>
      <c r="C139" s="90"/>
      <c r="D139" s="91"/>
      <c r="E139" s="92"/>
      <c r="F139" s="92"/>
      <c r="G139" s="92"/>
      <c r="H139" s="93"/>
    </row>
    <row r="140" spans="1:8" ht="22.5">
      <c r="A140" s="30"/>
      <c r="B140" s="31"/>
      <c r="C140" s="32"/>
      <c r="D140" s="133" t="s">
        <v>90</v>
      </c>
      <c r="E140" s="34"/>
      <c r="F140" s="34"/>
      <c r="G140" s="34"/>
      <c r="H140" s="35"/>
    </row>
    <row r="141" spans="1:8" ht="31.5">
      <c r="A141" s="112" t="s">
        <v>3</v>
      </c>
      <c r="B141" s="37" t="s">
        <v>141</v>
      </c>
      <c r="C141" s="114" t="s">
        <v>5</v>
      </c>
      <c r="D141" s="115" t="s">
        <v>6</v>
      </c>
      <c r="E141" s="116" t="s">
        <v>7</v>
      </c>
      <c r="F141" s="117" t="s">
        <v>8</v>
      </c>
      <c r="G141" s="117" t="s">
        <v>9</v>
      </c>
      <c r="H141" s="118" t="s">
        <v>63</v>
      </c>
    </row>
    <row r="142" spans="1:8" ht="15.75">
      <c r="A142" s="21"/>
      <c r="B142" s="43"/>
      <c r="C142" s="44"/>
      <c r="D142" s="45" t="s">
        <v>11</v>
      </c>
      <c r="E142" s="46" t="s">
        <v>64</v>
      </c>
      <c r="F142" s="46" t="s">
        <v>65</v>
      </c>
      <c r="G142" s="46" t="s">
        <v>66</v>
      </c>
      <c r="H142" s="47" t="s">
        <v>15</v>
      </c>
    </row>
    <row r="143" spans="1:8" ht="15.75">
      <c r="A143" s="21">
        <v>1</v>
      </c>
      <c r="B143" s="14" t="s">
        <v>171</v>
      </c>
      <c r="C143" s="54">
        <v>2</v>
      </c>
      <c r="D143" s="58">
        <v>42.75</v>
      </c>
      <c r="E143" s="56">
        <v>0.067</v>
      </c>
      <c r="F143" s="56">
        <v>0.01</v>
      </c>
      <c r="G143" s="56">
        <v>1</v>
      </c>
      <c r="H143" s="57">
        <v>5</v>
      </c>
    </row>
    <row r="144" spans="1:8" ht="15.75">
      <c r="A144" s="21">
        <v>2</v>
      </c>
      <c r="B144" s="14" t="s">
        <v>142</v>
      </c>
      <c r="C144" s="54">
        <v>2</v>
      </c>
      <c r="D144" s="58">
        <v>15.98</v>
      </c>
      <c r="E144" s="56">
        <v>0</v>
      </c>
      <c r="F144" s="56">
        <v>0</v>
      </c>
      <c r="G144" s="56">
        <v>20.51</v>
      </c>
      <c r="H144" s="57">
        <v>15</v>
      </c>
    </row>
    <row r="145" spans="1:8" ht="15.75">
      <c r="A145" s="99"/>
      <c r="B145" s="132" t="s">
        <v>143</v>
      </c>
      <c r="C145" s="13">
        <f aca="true" t="shared" si="16" ref="C145:H145">SUM(C143:C144)</f>
        <v>4</v>
      </c>
      <c r="D145" s="13">
        <f t="shared" si="16"/>
        <v>58.730000000000004</v>
      </c>
      <c r="E145" s="13">
        <f t="shared" si="16"/>
        <v>0.067</v>
      </c>
      <c r="F145" s="15">
        <f t="shared" si="16"/>
        <v>0.01</v>
      </c>
      <c r="G145" s="15">
        <f t="shared" si="16"/>
        <v>21.51</v>
      </c>
      <c r="H145" s="13">
        <f t="shared" si="16"/>
        <v>20</v>
      </c>
    </row>
    <row r="146" spans="1:8" ht="15.75">
      <c r="A146" s="75"/>
      <c r="B146" s="81"/>
      <c r="C146" s="90"/>
      <c r="D146" s="91"/>
      <c r="E146" s="92"/>
      <c r="F146" s="92"/>
      <c r="G146" s="92"/>
      <c r="H146" s="93"/>
    </row>
    <row r="147" spans="1:8" ht="22.5">
      <c r="A147" s="30"/>
      <c r="B147" s="31"/>
      <c r="C147" s="32"/>
      <c r="D147" s="133" t="s">
        <v>70</v>
      </c>
      <c r="E147" s="34"/>
      <c r="F147" s="34"/>
      <c r="G147" s="34"/>
      <c r="H147" s="35"/>
    </row>
    <row r="148" spans="1:8" ht="31.5">
      <c r="A148" s="36" t="s">
        <v>3</v>
      </c>
      <c r="B148" s="37" t="s">
        <v>141</v>
      </c>
      <c r="C148" s="38" t="s">
        <v>5</v>
      </c>
      <c r="D148" s="39" t="s">
        <v>6</v>
      </c>
      <c r="E148" s="40" t="s">
        <v>7</v>
      </c>
      <c r="F148" s="41" t="s">
        <v>8</v>
      </c>
      <c r="G148" s="41" t="s">
        <v>9</v>
      </c>
      <c r="H148" s="42" t="s">
        <v>63</v>
      </c>
    </row>
    <row r="149" spans="1:8" ht="15.75">
      <c r="A149" s="21"/>
      <c r="B149" s="43"/>
      <c r="C149" s="44"/>
      <c r="D149" s="45" t="s">
        <v>11</v>
      </c>
      <c r="E149" s="46" t="s">
        <v>64</v>
      </c>
      <c r="F149" s="46" t="s">
        <v>65</v>
      </c>
      <c r="G149" s="46" t="s">
        <v>66</v>
      </c>
      <c r="H149" s="47" t="s">
        <v>15</v>
      </c>
    </row>
    <row r="150" spans="1:8" ht="15.75">
      <c r="A150" s="21">
        <v>1</v>
      </c>
      <c r="B150" s="14" t="s">
        <v>148</v>
      </c>
      <c r="C150" s="54">
        <v>147</v>
      </c>
      <c r="D150" s="58">
        <v>1923.96</v>
      </c>
      <c r="E150" s="56">
        <v>184.321</v>
      </c>
      <c r="F150" s="56">
        <v>387.074</v>
      </c>
      <c r="G150" s="56">
        <f>9557.683-755.4</f>
        <v>8802.283000000001</v>
      </c>
      <c r="H150" s="57">
        <v>1580</v>
      </c>
    </row>
    <row r="151" spans="1:8" ht="15.75">
      <c r="A151" s="137">
        <v>2</v>
      </c>
      <c r="B151" s="14" t="s">
        <v>145</v>
      </c>
      <c r="C151" s="54">
        <v>1</v>
      </c>
      <c r="D151" s="58">
        <v>4.73</v>
      </c>
      <c r="E151" s="56">
        <v>0.118</v>
      </c>
      <c r="F151" s="56">
        <v>0.354</v>
      </c>
      <c r="G151" s="56">
        <v>9.29</v>
      </c>
      <c r="H151" s="57">
        <v>3</v>
      </c>
    </row>
    <row r="152" spans="1:8" ht="15.75">
      <c r="A152" s="21">
        <v>3</v>
      </c>
      <c r="B152" s="14" t="s">
        <v>153</v>
      </c>
      <c r="C152" s="54">
        <v>0</v>
      </c>
      <c r="D152" s="58">
        <v>0</v>
      </c>
      <c r="E152" s="56">
        <v>70.259</v>
      </c>
      <c r="F152" s="56">
        <v>140.52</v>
      </c>
      <c r="G152" s="56">
        <v>5766.404</v>
      </c>
      <c r="H152" s="57">
        <f>15*91</f>
        <v>1365</v>
      </c>
    </row>
    <row r="153" spans="1:8" ht="15.75">
      <c r="A153" s="137">
        <v>4</v>
      </c>
      <c r="B153" s="14" t="s">
        <v>149</v>
      </c>
      <c r="C153" s="54">
        <v>223</v>
      </c>
      <c r="D153" s="58">
        <v>1659.819</v>
      </c>
      <c r="E153" s="56">
        <v>61.442</v>
      </c>
      <c r="F153" s="56">
        <v>122.88</v>
      </c>
      <c r="G153" s="56">
        <v>10919.71</v>
      </c>
      <c r="H153" s="57">
        <v>497</v>
      </c>
    </row>
    <row r="154" spans="1:8" ht="15.75">
      <c r="A154" s="21">
        <v>5</v>
      </c>
      <c r="B154" s="14" t="s">
        <v>164</v>
      </c>
      <c r="C154" s="54">
        <v>4</v>
      </c>
      <c r="D154" s="58">
        <v>16.11</v>
      </c>
      <c r="E154" s="56">
        <v>0.175</v>
      </c>
      <c r="F154" s="56">
        <v>0.35</v>
      </c>
      <c r="G154" s="56">
        <v>3.5</v>
      </c>
      <c r="H154" s="57">
        <v>25</v>
      </c>
    </row>
    <row r="155" spans="1:8" ht="15.75">
      <c r="A155" s="137">
        <v>6</v>
      </c>
      <c r="B155" s="14" t="s">
        <v>146</v>
      </c>
      <c r="C155" s="54">
        <v>11</v>
      </c>
      <c r="D155" s="58">
        <v>147.32</v>
      </c>
      <c r="E155" s="56">
        <v>12.87</v>
      </c>
      <c r="F155" s="56">
        <v>18.018</v>
      </c>
      <c r="G155" s="56">
        <v>830</v>
      </c>
      <c r="H155" s="57">
        <v>25</v>
      </c>
    </row>
    <row r="156" spans="1:8" ht="15.75">
      <c r="A156" s="21">
        <v>7</v>
      </c>
      <c r="B156" s="14" t="s">
        <v>147</v>
      </c>
      <c r="C156" s="54">
        <v>17</v>
      </c>
      <c r="D156" s="58">
        <v>84</v>
      </c>
      <c r="E156" s="56">
        <v>33.909</v>
      </c>
      <c r="F156" s="56">
        <v>67.818</v>
      </c>
      <c r="G156" s="56">
        <v>1307</v>
      </c>
      <c r="H156" s="57">
        <v>20</v>
      </c>
    </row>
    <row r="157" spans="1:8" ht="15.75">
      <c r="A157" s="137">
        <v>8</v>
      </c>
      <c r="B157" s="14" t="s">
        <v>172</v>
      </c>
      <c r="C157" s="54">
        <v>1</v>
      </c>
      <c r="D157" s="58">
        <v>5</v>
      </c>
      <c r="E157" s="56">
        <v>0</v>
      </c>
      <c r="F157" s="56">
        <v>0</v>
      </c>
      <c r="G157" s="56">
        <v>0</v>
      </c>
      <c r="H157" s="57">
        <v>0</v>
      </c>
    </row>
    <row r="158" spans="1:8" ht="15.75">
      <c r="A158" s="21">
        <v>9</v>
      </c>
      <c r="B158" s="14" t="s">
        <v>150</v>
      </c>
      <c r="C158" s="54">
        <v>0</v>
      </c>
      <c r="D158" s="58">
        <v>0</v>
      </c>
      <c r="E158" s="56">
        <v>19.55</v>
      </c>
      <c r="F158" s="56">
        <v>19.55</v>
      </c>
      <c r="G158" s="56">
        <v>427.335</v>
      </c>
      <c r="H158" s="57">
        <v>0</v>
      </c>
    </row>
    <row r="159" spans="1:8" ht="15.75">
      <c r="A159" s="137">
        <v>10</v>
      </c>
      <c r="B159" s="14" t="s">
        <v>142</v>
      </c>
      <c r="C159" s="54">
        <v>32</v>
      </c>
      <c r="D159" s="58">
        <v>610</v>
      </c>
      <c r="E159" s="56">
        <v>50.16</v>
      </c>
      <c r="F159" s="56">
        <v>75.24</v>
      </c>
      <c r="G159" s="56">
        <v>2601.936</v>
      </c>
      <c r="H159" s="57">
        <v>160</v>
      </c>
    </row>
    <row r="160" spans="1:8" ht="15.75">
      <c r="A160" s="21">
        <v>11</v>
      </c>
      <c r="B160" s="14" t="s">
        <v>154</v>
      </c>
      <c r="C160" s="54">
        <v>0</v>
      </c>
      <c r="D160" s="58">
        <v>0</v>
      </c>
      <c r="E160" s="56">
        <v>30.574</v>
      </c>
      <c r="F160" s="56">
        <v>36.688</v>
      </c>
      <c r="G160" s="56">
        <v>0</v>
      </c>
      <c r="H160" s="57">
        <v>0</v>
      </c>
    </row>
    <row r="161" spans="1:8" ht="15.75">
      <c r="A161" s="137">
        <v>12</v>
      </c>
      <c r="B161" s="14" t="s">
        <v>173</v>
      </c>
      <c r="C161" s="54">
        <v>0</v>
      </c>
      <c r="D161" s="58">
        <v>0</v>
      </c>
      <c r="E161" s="56">
        <v>20.9</v>
      </c>
      <c r="F161" s="56">
        <v>41.8</v>
      </c>
      <c r="G161" s="56">
        <f>418+20</f>
        <v>438</v>
      </c>
      <c r="H161" s="57">
        <v>160</v>
      </c>
    </row>
    <row r="162" spans="1:8" ht="15.75">
      <c r="A162" s="36"/>
      <c r="B162" s="132" t="s">
        <v>143</v>
      </c>
      <c r="C162" s="13">
        <f aca="true" t="shared" si="17" ref="C162:H162">SUM(C150:C161)</f>
        <v>436</v>
      </c>
      <c r="D162" s="13">
        <f t="shared" si="17"/>
        <v>4450.939</v>
      </c>
      <c r="E162" s="13">
        <f t="shared" si="17"/>
        <v>484.27799999999996</v>
      </c>
      <c r="F162" s="13">
        <f t="shared" si="17"/>
        <v>910.2919999999999</v>
      </c>
      <c r="G162" s="13">
        <f t="shared" si="17"/>
        <v>31105.458000000002</v>
      </c>
      <c r="H162" s="13">
        <f t="shared" si="17"/>
        <v>3835</v>
      </c>
    </row>
    <row r="163" spans="1:8" ht="15.75">
      <c r="A163" s="75"/>
      <c r="B163" s="81"/>
      <c r="C163" s="90"/>
      <c r="D163" s="91"/>
      <c r="E163" s="92"/>
      <c r="F163" s="92"/>
      <c r="G163" s="92"/>
      <c r="H163" s="93"/>
    </row>
    <row r="164" spans="1:8" ht="19.5" customHeight="1">
      <c r="A164" s="30"/>
      <c r="B164" s="31"/>
      <c r="C164" s="32"/>
      <c r="D164" s="131" t="s">
        <v>71</v>
      </c>
      <c r="E164" s="34"/>
      <c r="F164" s="34"/>
      <c r="G164" s="34"/>
      <c r="H164" s="35"/>
    </row>
    <row r="165" spans="1:8" ht="28.5" customHeight="1">
      <c r="A165" s="36" t="s">
        <v>3</v>
      </c>
      <c r="B165" s="37" t="s">
        <v>141</v>
      </c>
      <c r="C165" s="38" t="s">
        <v>5</v>
      </c>
      <c r="D165" s="39" t="s">
        <v>6</v>
      </c>
      <c r="E165" s="40" t="s">
        <v>7</v>
      </c>
      <c r="F165" s="41" t="s">
        <v>8</v>
      </c>
      <c r="G165" s="41" t="s">
        <v>9</v>
      </c>
      <c r="H165" s="42" t="s">
        <v>63</v>
      </c>
    </row>
    <row r="166" spans="1:8" ht="15.75">
      <c r="A166" s="21"/>
      <c r="B166" s="43"/>
      <c r="C166" s="44"/>
      <c r="D166" s="45" t="s">
        <v>11</v>
      </c>
      <c r="E166" s="46" t="s">
        <v>64</v>
      </c>
      <c r="F166" s="46" t="s">
        <v>65</v>
      </c>
      <c r="G166" s="46" t="s">
        <v>66</v>
      </c>
      <c r="H166" s="47" t="s">
        <v>15</v>
      </c>
    </row>
    <row r="167" spans="1:8" ht="15.75">
      <c r="A167" s="21">
        <v>1</v>
      </c>
      <c r="B167" s="14" t="s">
        <v>148</v>
      </c>
      <c r="C167" s="54">
        <v>6</v>
      </c>
      <c r="D167" s="58">
        <v>29.14</v>
      </c>
      <c r="E167" s="56">
        <v>0</v>
      </c>
      <c r="F167" s="56">
        <v>0</v>
      </c>
      <c r="G167" s="56">
        <v>3</v>
      </c>
      <c r="H167" s="57">
        <v>2</v>
      </c>
    </row>
    <row r="168" spans="1:8" ht="15.75">
      <c r="A168" s="21">
        <v>2</v>
      </c>
      <c r="B168" s="14" t="s">
        <v>149</v>
      </c>
      <c r="C168" s="54">
        <v>1</v>
      </c>
      <c r="D168" s="58">
        <v>5</v>
      </c>
      <c r="E168" s="56">
        <v>0</v>
      </c>
      <c r="F168" s="56">
        <v>0</v>
      </c>
      <c r="G168" s="56">
        <v>14.083</v>
      </c>
      <c r="H168" s="57">
        <v>0</v>
      </c>
    </row>
    <row r="169" spans="1:8" ht="15.75">
      <c r="A169" s="21">
        <v>3</v>
      </c>
      <c r="B169" s="14" t="s">
        <v>173</v>
      </c>
      <c r="C169" s="54">
        <v>12</v>
      </c>
      <c r="D169" s="58">
        <v>209.4</v>
      </c>
      <c r="E169" s="56">
        <v>0</v>
      </c>
      <c r="F169" s="56">
        <v>0</v>
      </c>
      <c r="G169" s="56">
        <v>231</v>
      </c>
      <c r="H169" s="57">
        <v>0</v>
      </c>
    </row>
    <row r="170" spans="1:8" s="136" customFormat="1" ht="15.75">
      <c r="A170" s="135"/>
      <c r="B170" s="132" t="s">
        <v>143</v>
      </c>
      <c r="C170" s="66">
        <f aca="true" t="shared" si="18" ref="C170:H170">SUM(C167:C169)</f>
        <v>19</v>
      </c>
      <c r="D170" s="66">
        <f t="shared" si="18"/>
        <v>243.54000000000002</v>
      </c>
      <c r="E170" s="95">
        <f t="shared" si="18"/>
        <v>0</v>
      </c>
      <c r="F170" s="95">
        <f t="shared" si="18"/>
        <v>0</v>
      </c>
      <c r="G170" s="95">
        <f t="shared" si="18"/>
        <v>248.083</v>
      </c>
      <c r="H170" s="66">
        <f t="shared" si="18"/>
        <v>2</v>
      </c>
    </row>
    <row r="171" spans="1:8" ht="15.75">
      <c r="A171" s="67"/>
      <c r="B171" s="106"/>
      <c r="C171" s="69"/>
      <c r="D171" s="70"/>
      <c r="E171" s="71"/>
      <c r="F171" s="71"/>
      <c r="G171" s="71"/>
      <c r="H171" s="72"/>
    </row>
    <row r="172" spans="1:8" s="75" customFormat="1" ht="22.5">
      <c r="A172" s="30"/>
      <c r="B172" s="31"/>
      <c r="C172" s="32"/>
      <c r="D172" s="133" t="s">
        <v>94</v>
      </c>
      <c r="E172" s="34"/>
      <c r="F172" s="34"/>
      <c r="G172" s="34"/>
      <c r="H172" s="35"/>
    </row>
    <row r="173" spans="1:8" ht="27.75" customHeight="1">
      <c r="A173" s="112" t="s">
        <v>3</v>
      </c>
      <c r="B173" s="37" t="s">
        <v>141</v>
      </c>
      <c r="C173" s="114" t="s">
        <v>5</v>
      </c>
      <c r="D173" s="115" t="s">
        <v>6</v>
      </c>
      <c r="E173" s="116" t="s">
        <v>7</v>
      </c>
      <c r="F173" s="117" t="s">
        <v>8</v>
      </c>
      <c r="G173" s="117" t="s">
        <v>9</v>
      </c>
      <c r="H173" s="118" t="s">
        <v>63</v>
      </c>
    </row>
    <row r="174" spans="1:8" ht="15.75">
      <c r="A174" s="21"/>
      <c r="B174" s="43"/>
      <c r="C174" s="44"/>
      <c r="D174" s="45" t="s">
        <v>11</v>
      </c>
      <c r="E174" s="46" t="s">
        <v>64</v>
      </c>
      <c r="F174" s="46" t="s">
        <v>65</v>
      </c>
      <c r="G174" s="46" t="s">
        <v>66</v>
      </c>
      <c r="H174" s="47" t="s">
        <v>15</v>
      </c>
    </row>
    <row r="175" spans="1:8" ht="15.75">
      <c r="A175" s="59">
        <v>1</v>
      </c>
      <c r="B175" s="81" t="s">
        <v>152</v>
      </c>
      <c r="C175" s="61">
        <v>1</v>
      </c>
      <c r="D175" s="62">
        <v>59</v>
      </c>
      <c r="E175" s="63">
        <v>0</v>
      </c>
      <c r="F175" s="63">
        <v>0</v>
      </c>
      <c r="G175" s="63">
        <v>129</v>
      </c>
      <c r="H175" s="64">
        <v>0</v>
      </c>
    </row>
    <row r="176" spans="1:8" s="136" customFormat="1" ht="15.75">
      <c r="A176" s="99"/>
      <c r="B176" s="14"/>
      <c r="C176" s="66">
        <f aca="true" t="shared" si="19" ref="C176:H176">SUM(C175)</f>
        <v>1</v>
      </c>
      <c r="D176" s="66">
        <f t="shared" si="19"/>
        <v>59</v>
      </c>
      <c r="E176" s="95">
        <f t="shared" si="19"/>
        <v>0</v>
      </c>
      <c r="F176" s="15">
        <f t="shared" si="19"/>
        <v>0</v>
      </c>
      <c r="G176" s="15">
        <f t="shared" si="19"/>
        <v>129</v>
      </c>
      <c r="H176" s="13">
        <f t="shared" si="19"/>
        <v>0</v>
      </c>
    </row>
    <row r="177" spans="1:8" ht="15.75">
      <c r="A177" s="75"/>
      <c r="B177" s="81"/>
      <c r="C177" s="69"/>
      <c r="D177" s="69"/>
      <c r="E177" s="69"/>
      <c r="F177" s="90"/>
      <c r="G177" s="90"/>
      <c r="H177" s="90"/>
    </row>
    <row r="178" spans="1:8" ht="22.5">
      <c r="A178" s="30"/>
      <c r="B178" s="31"/>
      <c r="C178" s="32"/>
      <c r="D178" s="133" t="s">
        <v>101</v>
      </c>
      <c r="E178" s="34"/>
      <c r="F178" s="34"/>
      <c r="G178" s="34"/>
      <c r="H178" s="35"/>
    </row>
    <row r="179" spans="1:8" ht="27.75" customHeight="1">
      <c r="A179" s="112" t="s">
        <v>3</v>
      </c>
      <c r="B179" s="37" t="s">
        <v>141</v>
      </c>
      <c r="C179" s="114" t="s">
        <v>5</v>
      </c>
      <c r="D179" s="115" t="s">
        <v>6</v>
      </c>
      <c r="E179" s="116" t="s">
        <v>7</v>
      </c>
      <c r="F179" s="117" t="s">
        <v>8</v>
      </c>
      <c r="G179" s="117" t="s">
        <v>9</v>
      </c>
      <c r="H179" s="118" t="s">
        <v>63</v>
      </c>
    </row>
    <row r="180" spans="1:8" ht="15.75">
      <c r="A180" s="21"/>
      <c r="B180" s="43"/>
      <c r="C180" s="44"/>
      <c r="D180" s="45" t="s">
        <v>11</v>
      </c>
      <c r="E180" s="46" t="s">
        <v>64</v>
      </c>
      <c r="F180" s="46" t="s">
        <v>65</v>
      </c>
      <c r="G180" s="46" t="s">
        <v>66</v>
      </c>
      <c r="H180" s="47" t="s">
        <v>15</v>
      </c>
    </row>
    <row r="181" spans="1:8" ht="15.75">
      <c r="A181" s="21">
        <v>1</v>
      </c>
      <c r="B181" s="14" t="s">
        <v>155</v>
      </c>
      <c r="C181" s="54">
        <v>9</v>
      </c>
      <c r="D181" s="58">
        <v>3009.92</v>
      </c>
      <c r="E181" s="56">
        <v>2171.245</v>
      </c>
      <c r="F181" s="56">
        <v>7599.357</v>
      </c>
      <c r="G181" s="56">
        <v>91162.314</v>
      </c>
      <c r="H181" s="57">
        <v>650</v>
      </c>
    </row>
    <row r="182" spans="1:8" ht="15.75">
      <c r="A182" s="21">
        <v>2</v>
      </c>
      <c r="B182" s="14" t="s">
        <v>170</v>
      </c>
      <c r="C182" s="54">
        <v>1</v>
      </c>
      <c r="D182" s="58">
        <v>178.05</v>
      </c>
      <c r="E182" s="56">
        <v>67.842</v>
      </c>
      <c r="F182" s="56">
        <v>88.192</v>
      </c>
      <c r="G182" s="56">
        <v>3118</v>
      </c>
      <c r="H182" s="57">
        <v>77</v>
      </c>
    </row>
    <row r="183" spans="1:8" ht="15.75">
      <c r="A183" s="21">
        <v>3</v>
      </c>
      <c r="B183" s="14" t="s">
        <v>156</v>
      </c>
      <c r="C183" s="54">
        <v>3</v>
      </c>
      <c r="D183" s="58">
        <v>957.9</v>
      </c>
      <c r="E183" s="56">
        <v>878.118</v>
      </c>
      <c r="F183" s="56">
        <v>1141.553</v>
      </c>
      <c r="G183" s="56">
        <v>59038</v>
      </c>
      <c r="H183" s="57">
        <v>25</v>
      </c>
    </row>
    <row r="184" spans="1:8" ht="15.75">
      <c r="A184" s="21">
        <v>4</v>
      </c>
      <c r="B184" s="14" t="s">
        <v>174</v>
      </c>
      <c r="C184" s="54">
        <v>2</v>
      </c>
      <c r="D184" s="58">
        <v>2861.33</v>
      </c>
      <c r="E184" s="56">
        <v>0</v>
      </c>
      <c r="F184" s="56">
        <v>0</v>
      </c>
      <c r="G184" s="56">
        <f>4518+184</f>
        <v>4702</v>
      </c>
      <c r="H184" s="57">
        <v>0</v>
      </c>
    </row>
    <row r="185" spans="1:8" ht="15.75">
      <c r="A185" s="21">
        <v>5</v>
      </c>
      <c r="B185" s="14" t="s">
        <v>154</v>
      </c>
      <c r="C185" s="54">
        <v>1</v>
      </c>
      <c r="D185" s="58">
        <v>161.55</v>
      </c>
      <c r="E185" s="56">
        <v>0</v>
      </c>
      <c r="F185" s="56">
        <v>0</v>
      </c>
      <c r="G185" s="56">
        <v>0</v>
      </c>
      <c r="H185" s="57">
        <v>0</v>
      </c>
    </row>
    <row r="186" spans="1:8" ht="15.75">
      <c r="A186" s="21">
        <v>6</v>
      </c>
      <c r="B186" s="14" t="s">
        <v>175</v>
      </c>
      <c r="C186" s="54">
        <v>18</v>
      </c>
      <c r="D186" s="58">
        <f>8128.64+35</f>
        <v>8163.64</v>
      </c>
      <c r="E186" s="56">
        <v>695.874</v>
      </c>
      <c r="F186" s="56">
        <v>1510.01</v>
      </c>
      <c r="G186" s="56">
        <v>29674.345</v>
      </c>
      <c r="H186" s="57">
        <v>180</v>
      </c>
    </row>
    <row r="187" spans="1:8" s="136" customFormat="1" ht="15.75">
      <c r="A187" s="99"/>
      <c r="B187" s="132" t="s">
        <v>143</v>
      </c>
      <c r="C187" s="13">
        <f aca="true" t="shared" si="20" ref="C187:H187">SUM(C181:C186)</f>
        <v>34</v>
      </c>
      <c r="D187" s="13">
        <f t="shared" si="20"/>
        <v>15332.39</v>
      </c>
      <c r="E187" s="13">
        <f t="shared" si="20"/>
        <v>3813.0789999999997</v>
      </c>
      <c r="F187" s="13">
        <f t="shared" si="20"/>
        <v>10339.112000000001</v>
      </c>
      <c r="G187" s="13">
        <f t="shared" si="20"/>
        <v>187694.659</v>
      </c>
      <c r="H187" s="13">
        <f t="shared" si="20"/>
        <v>932</v>
      </c>
    </row>
    <row r="188" spans="1:8" ht="15.75">
      <c r="A188" s="75"/>
      <c r="B188" s="81"/>
      <c r="C188" s="90"/>
      <c r="D188" s="91"/>
      <c r="E188" s="92"/>
      <c r="F188" s="92"/>
      <c r="G188" s="92"/>
      <c r="H188" s="93"/>
    </row>
    <row r="189" spans="2:8" s="75" customFormat="1" ht="22.5">
      <c r="B189" s="89"/>
      <c r="C189" s="90"/>
      <c r="D189" s="131" t="s">
        <v>117</v>
      </c>
      <c r="E189" s="92"/>
      <c r="F189" s="92"/>
      <c r="G189" s="92"/>
      <c r="H189" s="93"/>
    </row>
    <row r="190" spans="1:8" ht="31.5">
      <c r="A190" s="36" t="s">
        <v>3</v>
      </c>
      <c r="B190" s="37" t="s">
        <v>141</v>
      </c>
      <c r="C190" s="38" t="s">
        <v>5</v>
      </c>
      <c r="D190" s="39" t="s">
        <v>6</v>
      </c>
      <c r="E190" s="40" t="s">
        <v>7</v>
      </c>
      <c r="F190" s="41" t="s">
        <v>8</v>
      </c>
      <c r="G190" s="41" t="s">
        <v>9</v>
      </c>
      <c r="H190" s="42" t="s">
        <v>63</v>
      </c>
    </row>
    <row r="191" spans="1:8" ht="15.75">
      <c r="A191" s="21"/>
      <c r="B191" s="43"/>
      <c r="C191" s="44"/>
      <c r="D191" s="45" t="s">
        <v>11</v>
      </c>
      <c r="E191" s="46" t="s">
        <v>64</v>
      </c>
      <c r="F191" s="46" t="s">
        <v>65</v>
      </c>
      <c r="G191" s="46" t="s">
        <v>66</v>
      </c>
      <c r="H191" s="47" t="s">
        <v>15</v>
      </c>
    </row>
    <row r="192" spans="1:8" ht="15.75" customHeight="1">
      <c r="A192" s="21">
        <v>1</v>
      </c>
      <c r="B192" s="14" t="s">
        <v>176</v>
      </c>
      <c r="C192" s="54">
        <v>7</v>
      </c>
      <c r="D192" s="58">
        <v>244.33</v>
      </c>
      <c r="E192" s="56">
        <v>0.28</v>
      </c>
      <c r="F192" s="56">
        <v>1.12</v>
      </c>
      <c r="G192" s="56">
        <v>53.218</v>
      </c>
      <c r="H192" s="57">
        <v>6</v>
      </c>
    </row>
    <row r="193" spans="1:8" s="136" customFormat="1" ht="15.75" customHeight="1">
      <c r="A193" s="99"/>
      <c r="B193" s="132" t="s">
        <v>143</v>
      </c>
      <c r="C193" s="13">
        <f aca="true" t="shared" si="21" ref="C193:H193">SUM(C192)</f>
        <v>7</v>
      </c>
      <c r="D193" s="13">
        <f t="shared" si="21"/>
        <v>244.33</v>
      </c>
      <c r="E193" s="15">
        <f t="shared" si="21"/>
        <v>0.28</v>
      </c>
      <c r="F193" s="15">
        <f t="shared" si="21"/>
        <v>1.12</v>
      </c>
      <c r="G193" s="15">
        <f t="shared" si="21"/>
        <v>53.218</v>
      </c>
      <c r="H193" s="13">
        <f t="shared" si="21"/>
        <v>6</v>
      </c>
    </row>
    <row r="194" spans="2:8" s="75" customFormat="1" ht="15.75" customHeight="1">
      <c r="B194" s="81"/>
      <c r="C194" s="90"/>
      <c r="D194" s="91"/>
      <c r="E194" s="92"/>
      <c r="F194" s="92"/>
      <c r="G194" s="92"/>
      <c r="H194" s="93"/>
    </row>
    <row r="195" spans="1:8" ht="24" customHeight="1">
      <c r="A195" s="75"/>
      <c r="B195" s="89"/>
      <c r="C195" s="90"/>
      <c r="D195" s="131" t="s">
        <v>104</v>
      </c>
      <c r="E195" s="92"/>
      <c r="F195" s="92"/>
      <c r="G195" s="92"/>
      <c r="H195" s="93"/>
    </row>
    <row r="196" spans="1:8" ht="15.75" customHeight="1">
      <c r="A196" s="36" t="s">
        <v>3</v>
      </c>
      <c r="B196" s="37" t="s">
        <v>141</v>
      </c>
      <c r="C196" s="38" t="s">
        <v>5</v>
      </c>
      <c r="D196" s="39" t="s">
        <v>6</v>
      </c>
      <c r="E196" s="40" t="s">
        <v>7</v>
      </c>
      <c r="F196" s="41" t="s">
        <v>8</v>
      </c>
      <c r="G196" s="41" t="s">
        <v>9</v>
      </c>
      <c r="H196" s="42" t="s">
        <v>63</v>
      </c>
    </row>
    <row r="197" spans="1:8" ht="15.75" customHeight="1">
      <c r="A197" s="21"/>
      <c r="B197" s="43"/>
      <c r="C197" s="44"/>
      <c r="D197" s="45" t="s">
        <v>11</v>
      </c>
      <c r="E197" s="46" t="s">
        <v>64</v>
      </c>
      <c r="F197" s="46" t="s">
        <v>65</v>
      </c>
      <c r="G197" s="46" t="s">
        <v>66</v>
      </c>
      <c r="H197" s="47" t="s">
        <v>15</v>
      </c>
    </row>
    <row r="198" spans="1:8" ht="15" customHeight="1">
      <c r="A198" s="21">
        <v>1</v>
      </c>
      <c r="B198" s="14" t="s">
        <v>149</v>
      </c>
      <c r="C198" s="54">
        <v>2</v>
      </c>
      <c r="D198" s="58">
        <v>10</v>
      </c>
      <c r="E198" s="56">
        <v>0</v>
      </c>
      <c r="F198" s="56">
        <v>0</v>
      </c>
      <c r="G198" s="56">
        <v>36</v>
      </c>
      <c r="H198" s="57">
        <v>0</v>
      </c>
    </row>
    <row r="199" spans="1:8" s="136" customFormat="1" ht="15" customHeight="1">
      <c r="A199" s="99"/>
      <c r="B199" s="132" t="s">
        <v>143</v>
      </c>
      <c r="C199" s="13">
        <f aca="true" t="shared" si="22" ref="C199:H199">SUM(C198)</f>
        <v>2</v>
      </c>
      <c r="D199" s="13">
        <f t="shared" si="22"/>
        <v>10</v>
      </c>
      <c r="E199" s="15">
        <f t="shared" si="22"/>
        <v>0</v>
      </c>
      <c r="F199" s="15">
        <f t="shared" si="22"/>
        <v>0</v>
      </c>
      <c r="G199" s="15">
        <f t="shared" si="22"/>
        <v>36</v>
      </c>
      <c r="H199" s="13">
        <f t="shared" si="22"/>
        <v>0</v>
      </c>
    </row>
    <row r="200" spans="1:8" ht="15" customHeight="1">
      <c r="A200" s="75"/>
      <c r="B200" s="81"/>
      <c r="C200" s="90"/>
      <c r="D200" s="91"/>
      <c r="E200" s="92"/>
      <c r="F200" s="92"/>
      <c r="G200" s="92"/>
      <c r="H200" s="93"/>
    </row>
    <row r="201" spans="1:8" ht="19.5" customHeight="1">
      <c r="A201" s="75"/>
      <c r="B201" s="89"/>
      <c r="C201" s="90"/>
      <c r="D201" s="131" t="s">
        <v>98</v>
      </c>
      <c r="E201" s="92"/>
      <c r="F201" s="92"/>
      <c r="G201" s="92"/>
      <c r="H201" s="93"/>
    </row>
    <row r="202" spans="1:8" ht="19.5" customHeight="1">
      <c r="A202" s="36" t="s">
        <v>3</v>
      </c>
      <c r="B202" s="37" t="s">
        <v>141</v>
      </c>
      <c r="C202" s="38" t="s">
        <v>5</v>
      </c>
      <c r="D202" s="39" t="s">
        <v>6</v>
      </c>
      <c r="E202" s="40" t="s">
        <v>7</v>
      </c>
      <c r="F202" s="41" t="s">
        <v>8</v>
      </c>
      <c r="G202" s="41" t="s">
        <v>9</v>
      </c>
      <c r="H202" s="42" t="s">
        <v>63</v>
      </c>
    </row>
    <row r="203" spans="1:8" ht="19.5" customHeight="1">
      <c r="A203" s="21"/>
      <c r="B203" s="43"/>
      <c r="C203" s="44"/>
      <c r="D203" s="45" t="s">
        <v>11</v>
      </c>
      <c r="E203" s="46" t="s">
        <v>64</v>
      </c>
      <c r="F203" s="46" t="s">
        <v>65</v>
      </c>
      <c r="G203" s="46" t="s">
        <v>66</v>
      </c>
      <c r="H203" s="47" t="s">
        <v>15</v>
      </c>
    </row>
    <row r="204" spans="1:8" ht="19.5" customHeight="1">
      <c r="A204" s="21">
        <v>1</v>
      </c>
      <c r="B204" s="14" t="s">
        <v>161</v>
      </c>
      <c r="C204" s="54">
        <v>1</v>
      </c>
      <c r="D204" s="58">
        <v>2655.7</v>
      </c>
      <c r="E204" s="56">
        <v>299.439</v>
      </c>
      <c r="F204" s="56">
        <v>2844.676</v>
      </c>
      <c r="G204" s="56">
        <v>14971.984</v>
      </c>
      <c r="H204" s="57">
        <v>1010</v>
      </c>
    </row>
    <row r="205" spans="1:8" ht="15.75">
      <c r="A205" s="137">
        <v>2</v>
      </c>
      <c r="B205" s="14" t="s">
        <v>155</v>
      </c>
      <c r="C205" s="54">
        <v>2</v>
      </c>
      <c r="D205" s="58">
        <v>1771.19</v>
      </c>
      <c r="E205" s="56">
        <v>0</v>
      </c>
      <c r="F205" s="56">
        <v>0</v>
      </c>
      <c r="G205" s="56">
        <v>107.6</v>
      </c>
      <c r="H205" s="57">
        <v>0</v>
      </c>
    </row>
    <row r="206" spans="1:8" ht="15.75">
      <c r="A206" s="21">
        <v>3</v>
      </c>
      <c r="B206" s="14" t="s">
        <v>174</v>
      </c>
      <c r="C206" s="54">
        <v>1</v>
      </c>
      <c r="D206" s="58">
        <v>1063</v>
      </c>
      <c r="E206" s="56">
        <v>165.496</v>
      </c>
      <c r="F206" s="56">
        <v>1240.695</v>
      </c>
      <c r="G206" s="56">
        <v>8271</v>
      </c>
      <c r="H206" s="57">
        <v>25</v>
      </c>
    </row>
    <row r="207" spans="1:8" s="136" customFormat="1" ht="15.75">
      <c r="A207" s="99"/>
      <c r="B207" s="132" t="s">
        <v>143</v>
      </c>
      <c r="C207" s="13">
        <f aca="true" t="shared" si="23" ref="C207:H207">SUM(C204:C206)</f>
        <v>4</v>
      </c>
      <c r="D207" s="13">
        <f t="shared" si="23"/>
        <v>5489.889999999999</v>
      </c>
      <c r="E207" s="13">
        <f t="shared" si="23"/>
        <v>464.93500000000006</v>
      </c>
      <c r="F207" s="13">
        <f t="shared" si="23"/>
        <v>4085.371</v>
      </c>
      <c r="G207" s="13">
        <f t="shared" si="23"/>
        <v>23350.584000000003</v>
      </c>
      <c r="H207" s="13">
        <f t="shared" si="23"/>
        <v>1035</v>
      </c>
    </row>
    <row r="208" spans="1:8" ht="15.75">
      <c r="A208" s="75"/>
      <c r="B208" s="81"/>
      <c r="C208" s="90"/>
      <c r="D208" s="91"/>
      <c r="E208" s="92"/>
      <c r="F208" s="92"/>
      <c r="G208" s="92"/>
      <c r="H208" s="93"/>
    </row>
    <row r="209" spans="1:8" ht="22.5">
      <c r="A209" s="30"/>
      <c r="B209" s="31"/>
      <c r="C209" s="32"/>
      <c r="D209" s="134" t="s">
        <v>72</v>
      </c>
      <c r="E209" s="34"/>
      <c r="F209" s="34"/>
      <c r="G209" s="34"/>
      <c r="H209" s="35"/>
    </row>
    <row r="210" spans="1:8" ht="31.5">
      <c r="A210" s="36" t="s">
        <v>3</v>
      </c>
      <c r="B210" s="37" t="s">
        <v>141</v>
      </c>
      <c r="C210" s="38" t="s">
        <v>5</v>
      </c>
      <c r="D210" s="39" t="s">
        <v>6</v>
      </c>
      <c r="E210" s="40" t="s">
        <v>7</v>
      </c>
      <c r="F210" s="41" t="s">
        <v>8</v>
      </c>
      <c r="G210" s="41" t="s">
        <v>9</v>
      </c>
      <c r="H210" s="42" t="s">
        <v>63</v>
      </c>
    </row>
    <row r="211" spans="1:8" ht="15.75">
      <c r="A211" s="21"/>
      <c r="B211" s="43"/>
      <c r="C211" s="44"/>
      <c r="D211" s="45" t="s">
        <v>11</v>
      </c>
      <c r="E211" s="46" t="s">
        <v>64</v>
      </c>
      <c r="F211" s="46" t="s">
        <v>65</v>
      </c>
      <c r="G211" s="46" t="s">
        <v>66</v>
      </c>
      <c r="H211" s="47" t="s">
        <v>15</v>
      </c>
    </row>
    <row r="212" spans="1:8" ht="15.75">
      <c r="A212" s="21">
        <v>1</v>
      </c>
      <c r="B212" s="33" t="s">
        <v>148</v>
      </c>
      <c r="C212" s="54">
        <v>1</v>
      </c>
      <c r="D212" s="58">
        <v>858.8</v>
      </c>
      <c r="E212" s="56">
        <v>1405.532</v>
      </c>
      <c r="F212" s="56">
        <v>2038.021</v>
      </c>
      <c r="G212" s="56">
        <v>61416.776</v>
      </c>
      <c r="H212" s="57">
        <v>72</v>
      </c>
    </row>
    <row r="213" spans="1:8" ht="15.75">
      <c r="A213" s="21">
        <v>2</v>
      </c>
      <c r="B213" s="33" t="s">
        <v>164</v>
      </c>
      <c r="C213" s="54">
        <v>2</v>
      </c>
      <c r="D213" s="58">
        <v>1359.67</v>
      </c>
      <c r="E213" s="56">
        <v>4575.621</v>
      </c>
      <c r="F213" s="56">
        <v>4878.84</v>
      </c>
      <c r="G213" s="56">
        <v>231102.97</v>
      </c>
      <c r="H213" s="57">
        <v>160</v>
      </c>
    </row>
    <row r="214" spans="1:8" ht="15.75">
      <c r="A214" s="21">
        <v>3</v>
      </c>
      <c r="B214" s="33" t="s">
        <v>165</v>
      </c>
      <c r="C214" s="54">
        <v>4</v>
      </c>
      <c r="D214" s="58">
        <v>1232.87</v>
      </c>
      <c r="E214" s="56">
        <v>247.125</v>
      </c>
      <c r="F214" s="56">
        <v>432.46</v>
      </c>
      <c r="G214" s="56">
        <v>13961.491</v>
      </c>
      <c r="H214" s="57">
        <v>25</v>
      </c>
    </row>
    <row r="215" spans="1:8" ht="15.75">
      <c r="A215" s="21">
        <v>4</v>
      </c>
      <c r="B215" s="33" t="s">
        <v>147</v>
      </c>
      <c r="C215" s="54">
        <v>1</v>
      </c>
      <c r="D215" s="58">
        <v>548.78</v>
      </c>
      <c r="E215" s="56">
        <v>0</v>
      </c>
      <c r="F215" s="56">
        <v>0</v>
      </c>
      <c r="G215" s="56">
        <v>330</v>
      </c>
      <c r="H215" s="57">
        <v>0</v>
      </c>
    </row>
    <row r="216" spans="1:8" ht="15.75">
      <c r="A216" s="21">
        <v>5</v>
      </c>
      <c r="B216" s="33" t="s">
        <v>166</v>
      </c>
      <c r="C216" s="54">
        <v>4</v>
      </c>
      <c r="D216" s="58">
        <v>1608.21</v>
      </c>
      <c r="E216" s="56">
        <v>4176.771</v>
      </c>
      <c r="F216" s="56">
        <v>4176.771</v>
      </c>
      <c r="G216" s="56">
        <v>185975.714</v>
      </c>
      <c r="H216" s="57">
        <v>276</v>
      </c>
    </row>
    <row r="217" spans="1:8" ht="15.75">
      <c r="A217" s="21">
        <v>6</v>
      </c>
      <c r="B217" s="33" t="s">
        <v>177</v>
      </c>
      <c r="C217" s="54">
        <v>2</v>
      </c>
      <c r="D217" s="58">
        <v>3980</v>
      </c>
      <c r="E217" s="56">
        <v>433.645</v>
      </c>
      <c r="F217" s="56">
        <v>737.2</v>
      </c>
      <c r="G217" s="56">
        <v>22536.224</v>
      </c>
      <c r="H217" s="57">
        <v>186</v>
      </c>
    </row>
    <row r="218" spans="1:8" ht="15.75">
      <c r="A218" s="21">
        <v>7</v>
      </c>
      <c r="B218" s="33" t="s">
        <v>174</v>
      </c>
      <c r="C218" s="54">
        <v>2</v>
      </c>
      <c r="D218" s="58">
        <v>702.57</v>
      </c>
      <c r="E218" s="56">
        <v>0</v>
      </c>
      <c r="F218" s="56">
        <v>0</v>
      </c>
      <c r="G218" s="56">
        <v>1044</v>
      </c>
      <c r="H218" s="57">
        <v>0</v>
      </c>
    </row>
    <row r="219" spans="1:8" ht="15.75">
      <c r="A219" s="21">
        <v>8</v>
      </c>
      <c r="B219" s="33" t="s">
        <v>178</v>
      </c>
      <c r="C219" s="54">
        <v>1</v>
      </c>
      <c r="D219" s="58">
        <v>895.42</v>
      </c>
      <c r="E219" s="56">
        <v>1805.295</v>
      </c>
      <c r="F219" s="56">
        <v>1353.971</v>
      </c>
      <c r="G219" s="56">
        <v>85054</v>
      </c>
      <c r="H219" s="57">
        <v>573</v>
      </c>
    </row>
    <row r="220" spans="1:8" ht="15.75">
      <c r="A220" s="21">
        <v>9</v>
      </c>
      <c r="B220" s="33" t="s">
        <v>142</v>
      </c>
      <c r="C220" s="54">
        <v>4</v>
      </c>
      <c r="D220" s="58">
        <v>1855.17</v>
      </c>
      <c r="E220" s="56">
        <v>0</v>
      </c>
      <c r="F220" s="56">
        <v>0</v>
      </c>
      <c r="G220" s="56">
        <v>777.539</v>
      </c>
      <c r="H220" s="57">
        <v>0</v>
      </c>
    </row>
    <row r="221" spans="1:8" ht="15.75">
      <c r="A221" s="21">
        <v>10</v>
      </c>
      <c r="B221" s="33" t="s">
        <v>159</v>
      </c>
      <c r="C221" s="54">
        <v>3</v>
      </c>
      <c r="D221" s="58">
        <v>1115.3</v>
      </c>
      <c r="E221" s="56">
        <v>6731.93</v>
      </c>
      <c r="F221" s="56">
        <v>6395.33</v>
      </c>
      <c r="G221" s="56">
        <v>305115</v>
      </c>
      <c r="H221" s="57">
        <v>200</v>
      </c>
    </row>
    <row r="222" spans="1:8" ht="15.75">
      <c r="A222" s="21">
        <v>11</v>
      </c>
      <c r="B222" s="33" t="s">
        <v>154</v>
      </c>
      <c r="C222" s="54">
        <v>3</v>
      </c>
      <c r="D222" s="58">
        <v>1736.53</v>
      </c>
      <c r="E222" s="56">
        <v>5985.41</v>
      </c>
      <c r="F222" s="56">
        <v>5386.861</v>
      </c>
      <c r="G222" s="56">
        <v>282460.006</v>
      </c>
      <c r="H222" s="57">
        <v>1500</v>
      </c>
    </row>
    <row r="223" spans="1:8" ht="15.75">
      <c r="A223" s="21">
        <v>12</v>
      </c>
      <c r="B223" s="33" t="s">
        <v>151</v>
      </c>
      <c r="C223" s="54">
        <v>2</v>
      </c>
      <c r="D223" s="58">
        <v>923.27</v>
      </c>
      <c r="E223" s="56">
        <v>0</v>
      </c>
      <c r="F223" s="56">
        <v>0</v>
      </c>
      <c r="G223" s="56">
        <v>0</v>
      </c>
      <c r="H223" s="57">
        <v>0</v>
      </c>
    </row>
    <row r="224" spans="1:8" ht="15.75">
      <c r="A224" s="21">
        <v>13</v>
      </c>
      <c r="B224" s="33" t="s">
        <v>156</v>
      </c>
      <c r="C224" s="54">
        <v>2</v>
      </c>
      <c r="D224" s="58">
        <v>1998</v>
      </c>
      <c r="E224" s="56">
        <v>1814.817</v>
      </c>
      <c r="F224" s="56">
        <v>7259.268</v>
      </c>
      <c r="G224" s="56">
        <v>156942</v>
      </c>
      <c r="H224" s="57">
        <v>245</v>
      </c>
    </row>
    <row r="225" spans="1:8" s="136" customFormat="1" ht="15.75">
      <c r="A225" s="99"/>
      <c r="B225" s="132" t="s">
        <v>143</v>
      </c>
      <c r="C225" s="13">
        <f aca="true" t="shared" si="24" ref="C225:H225">SUM(C212:C224)</f>
        <v>31</v>
      </c>
      <c r="D225" s="13">
        <f t="shared" si="24"/>
        <v>18814.59</v>
      </c>
      <c r="E225" s="13">
        <f t="shared" si="24"/>
        <v>27176.146</v>
      </c>
      <c r="F225" s="13">
        <f t="shared" si="24"/>
        <v>32658.722</v>
      </c>
      <c r="G225" s="13">
        <f t="shared" si="24"/>
        <v>1346715.72</v>
      </c>
      <c r="H225" s="13">
        <f t="shared" si="24"/>
        <v>3237</v>
      </c>
    </row>
    <row r="226" spans="2:8" s="75" customFormat="1" ht="15.75">
      <c r="B226" s="81"/>
      <c r="C226" s="90"/>
      <c r="D226" s="91"/>
      <c r="E226" s="92"/>
      <c r="F226" s="92"/>
      <c r="G226" s="92"/>
      <c r="H226" s="93"/>
    </row>
    <row r="227" spans="1:8" s="75" customFormat="1" ht="22.5">
      <c r="A227" s="30"/>
      <c r="B227" s="31"/>
      <c r="C227" s="32"/>
      <c r="D227" s="133" t="s">
        <v>73</v>
      </c>
      <c r="E227" s="34"/>
      <c r="F227" s="34"/>
      <c r="G227" s="34"/>
      <c r="H227" s="35"/>
    </row>
    <row r="228" spans="1:8" s="75" customFormat="1" ht="31.5">
      <c r="A228" s="112" t="s">
        <v>3</v>
      </c>
      <c r="B228" s="113" t="s">
        <v>141</v>
      </c>
      <c r="C228" s="114" t="s">
        <v>5</v>
      </c>
      <c r="D228" s="115" t="s">
        <v>6</v>
      </c>
      <c r="E228" s="116" t="s">
        <v>7</v>
      </c>
      <c r="F228" s="117" t="s">
        <v>8</v>
      </c>
      <c r="G228" s="117" t="s">
        <v>9</v>
      </c>
      <c r="H228" s="118" t="s">
        <v>63</v>
      </c>
    </row>
    <row r="229" spans="1:8" s="75" customFormat="1" ht="15.75">
      <c r="A229" s="21"/>
      <c r="B229" s="43"/>
      <c r="C229" s="44"/>
      <c r="D229" s="45" t="s">
        <v>11</v>
      </c>
      <c r="E229" s="46" t="s">
        <v>64</v>
      </c>
      <c r="F229" s="46" t="s">
        <v>65</v>
      </c>
      <c r="G229" s="46" t="s">
        <v>66</v>
      </c>
      <c r="H229" s="47" t="s">
        <v>15</v>
      </c>
    </row>
    <row r="230" spans="1:8" s="75" customFormat="1" ht="15.75">
      <c r="A230" s="21">
        <v>1</v>
      </c>
      <c r="B230" s="14" t="s">
        <v>148</v>
      </c>
      <c r="C230" s="54">
        <v>2</v>
      </c>
      <c r="D230" s="58">
        <v>134.5</v>
      </c>
      <c r="E230" s="56">
        <v>0</v>
      </c>
      <c r="F230" s="56">
        <v>0</v>
      </c>
      <c r="G230" s="56">
        <v>0</v>
      </c>
      <c r="H230" s="57">
        <v>0</v>
      </c>
    </row>
    <row r="231" spans="1:8" s="75" customFormat="1" ht="15.75">
      <c r="A231" s="21">
        <v>2</v>
      </c>
      <c r="B231" s="14" t="s">
        <v>154</v>
      </c>
      <c r="C231" s="54">
        <v>3</v>
      </c>
      <c r="D231" s="58">
        <v>110</v>
      </c>
      <c r="E231" s="56">
        <v>0</v>
      </c>
      <c r="F231" s="56">
        <v>0</v>
      </c>
      <c r="G231" s="56">
        <v>2.05</v>
      </c>
      <c r="H231" s="57">
        <v>2</v>
      </c>
    </row>
    <row r="232" spans="1:8" s="75" customFormat="1" ht="15.75">
      <c r="A232" s="21"/>
      <c r="B232" s="132" t="s">
        <v>143</v>
      </c>
      <c r="C232" s="13">
        <f aca="true" t="shared" si="25" ref="C232:H232">SUM(C230:C231)</f>
        <v>5</v>
      </c>
      <c r="D232" s="13">
        <f t="shared" si="25"/>
        <v>244.5</v>
      </c>
      <c r="E232" s="15">
        <f t="shared" si="25"/>
        <v>0</v>
      </c>
      <c r="F232" s="15">
        <f t="shared" si="25"/>
        <v>0</v>
      </c>
      <c r="G232" s="15">
        <f t="shared" si="25"/>
        <v>2.05</v>
      </c>
      <c r="H232" s="13">
        <f t="shared" si="25"/>
        <v>2</v>
      </c>
    </row>
    <row r="233" spans="2:8" s="75" customFormat="1" ht="15.75">
      <c r="B233" s="81"/>
      <c r="C233" s="90"/>
      <c r="D233" s="91"/>
      <c r="E233" s="92"/>
      <c r="F233" s="92"/>
      <c r="G233" s="92"/>
      <c r="H233" s="93"/>
    </row>
    <row r="234" spans="1:8" ht="22.5">
      <c r="A234" s="75"/>
      <c r="B234" s="89"/>
      <c r="C234" s="90"/>
      <c r="D234" s="131" t="s">
        <v>74</v>
      </c>
      <c r="E234" s="92"/>
      <c r="F234" s="92"/>
      <c r="G234" s="92"/>
      <c r="H234" s="93"/>
    </row>
    <row r="235" spans="1:8" ht="31.5">
      <c r="A235" s="36" t="s">
        <v>3</v>
      </c>
      <c r="B235" s="37" t="s">
        <v>141</v>
      </c>
      <c r="C235" s="38" t="s">
        <v>5</v>
      </c>
      <c r="D235" s="39" t="s">
        <v>6</v>
      </c>
      <c r="E235" s="40" t="s">
        <v>7</v>
      </c>
      <c r="F235" s="41" t="s">
        <v>8</v>
      </c>
      <c r="G235" s="41" t="s">
        <v>9</v>
      </c>
      <c r="H235" s="42" t="s">
        <v>63</v>
      </c>
    </row>
    <row r="236" spans="1:8" ht="15.75">
      <c r="A236" s="21"/>
      <c r="B236" s="43"/>
      <c r="C236" s="44"/>
      <c r="D236" s="45" t="s">
        <v>11</v>
      </c>
      <c r="E236" s="46" t="s">
        <v>158</v>
      </c>
      <c r="F236" s="46" t="s">
        <v>65</v>
      </c>
      <c r="G236" s="46" t="s">
        <v>66</v>
      </c>
      <c r="H236" s="47" t="s">
        <v>15</v>
      </c>
    </row>
    <row r="237" spans="1:8" ht="15.75">
      <c r="A237" s="21">
        <v>1</v>
      </c>
      <c r="B237" s="14" t="s">
        <v>146</v>
      </c>
      <c r="C237" s="54">
        <v>5</v>
      </c>
      <c r="D237" s="58">
        <v>117.79</v>
      </c>
      <c r="E237" s="56">
        <v>0</v>
      </c>
      <c r="F237" s="56">
        <v>0</v>
      </c>
      <c r="G237" s="56">
        <v>25.5</v>
      </c>
      <c r="H237" s="57">
        <v>10</v>
      </c>
    </row>
    <row r="238" spans="1:8" ht="15.75">
      <c r="A238" s="21">
        <v>2</v>
      </c>
      <c r="B238" s="14" t="s">
        <v>148</v>
      </c>
      <c r="C238" s="54">
        <v>2</v>
      </c>
      <c r="D238" s="58">
        <v>9.98</v>
      </c>
      <c r="E238" s="56">
        <v>195</v>
      </c>
      <c r="F238" s="56">
        <v>0.92</v>
      </c>
      <c r="G238" s="56">
        <v>4.2</v>
      </c>
      <c r="H238" s="57">
        <v>4</v>
      </c>
    </row>
    <row r="239" spans="1:8" ht="15.75">
      <c r="A239" s="137">
        <v>3</v>
      </c>
      <c r="B239" s="14" t="s">
        <v>149</v>
      </c>
      <c r="C239" s="54">
        <v>5</v>
      </c>
      <c r="D239" s="58">
        <v>257.63</v>
      </c>
      <c r="E239" s="56">
        <v>373</v>
      </c>
      <c r="F239" s="56">
        <v>5.59</v>
      </c>
      <c r="G239" s="56">
        <v>155.849</v>
      </c>
      <c r="H239" s="57">
        <v>40</v>
      </c>
    </row>
    <row r="240" spans="1:8" ht="15.75">
      <c r="A240" s="36"/>
      <c r="B240" s="132" t="s">
        <v>143</v>
      </c>
      <c r="C240" s="13">
        <f aca="true" t="shared" si="26" ref="C240:H240">SUM(C237:C239)</f>
        <v>12</v>
      </c>
      <c r="D240" s="13">
        <f t="shared" si="26"/>
        <v>385.4</v>
      </c>
      <c r="E240" s="15">
        <f t="shared" si="26"/>
        <v>568</v>
      </c>
      <c r="F240" s="15">
        <f t="shared" si="26"/>
        <v>6.51</v>
      </c>
      <c r="G240" s="13">
        <f t="shared" si="26"/>
        <v>185.54899999999998</v>
      </c>
      <c r="H240" s="13">
        <f t="shared" si="26"/>
        <v>54</v>
      </c>
    </row>
    <row r="241" spans="1:8" ht="15.75">
      <c r="A241" s="138"/>
      <c r="B241" s="81"/>
      <c r="C241" s="90"/>
      <c r="D241" s="91"/>
      <c r="E241" s="92"/>
      <c r="F241" s="92"/>
      <c r="G241" s="92"/>
      <c r="H241" s="93"/>
    </row>
    <row r="242" spans="1:8" ht="22.5">
      <c r="A242" s="30"/>
      <c r="B242" s="31"/>
      <c r="C242" s="32"/>
      <c r="D242" s="133" t="s">
        <v>89</v>
      </c>
      <c r="E242" s="34"/>
      <c r="F242" s="34"/>
      <c r="G242" s="34"/>
      <c r="H242" s="35"/>
    </row>
    <row r="243" spans="1:8" ht="27.75" customHeight="1">
      <c r="A243" s="36" t="s">
        <v>3</v>
      </c>
      <c r="B243" s="37" t="s">
        <v>141</v>
      </c>
      <c r="C243" s="38" t="s">
        <v>5</v>
      </c>
      <c r="D243" s="39" t="s">
        <v>6</v>
      </c>
      <c r="E243" s="40" t="s">
        <v>7</v>
      </c>
      <c r="F243" s="41" t="s">
        <v>8</v>
      </c>
      <c r="G243" s="41" t="s">
        <v>9</v>
      </c>
      <c r="H243" s="42" t="s">
        <v>63</v>
      </c>
    </row>
    <row r="244" spans="1:8" ht="15.75">
      <c r="A244" s="21"/>
      <c r="B244" s="43"/>
      <c r="C244" s="44"/>
      <c r="D244" s="45" t="s">
        <v>11</v>
      </c>
      <c r="E244" s="46" t="s">
        <v>64</v>
      </c>
      <c r="F244" s="46" t="s">
        <v>65</v>
      </c>
      <c r="G244" s="46" t="s">
        <v>66</v>
      </c>
      <c r="H244" s="47" t="s">
        <v>15</v>
      </c>
    </row>
    <row r="245" spans="1:8" ht="15.75">
      <c r="A245" s="21">
        <v>1</v>
      </c>
      <c r="B245" s="14" t="s">
        <v>171</v>
      </c>
      <c r="C245" s="54">
        <v>2</v>
      </c>
      <c r="D245" s="58">
        <v>10</v>
      </c>
      <c r="E245" s="56">
        <v>0.5</v>
      </c>
      <c r="F245" s="56">
        <v>0.75</v>
      </c>
      <c r="G245" s="56">
        <v>7</v>
      </c>
      <c r="H245" s="57">
        <v>23</v>
      </c>
    </row>
    <row r="246" spans="1:8" ht="15.75">
      <c r="A246" s="137">
        <v>2</v>
      </c>
      <c r="B246" s="14" t="s">
        <v>149</v>
      </c>
      <c r="C246" s="54">
        <v>3</v>
      </c>
      <c r="D246" s="58">
        <v>14</v>
      </c>
      <c r="E246" s="56">
        <v>10.153</v>
      </c>
      <c r="F246" s="56">
        <v>6.09</v>
      </c>
      <c r="G246" s="56">
        <v>133.37</v>
      </c>
      <c r="H246" s="57">
        <v>8</v>
      </c>
    </row>
    <row r="247" spans="1:8" ht="15.75">
      <c r="A247" s="21">
        <v>3</v>
      </c>
      <c r="B247" s="14" t="s">
        <v>162</v>
      </c>
      <c r="C247" s="54">
        <v>1</v>
      </c>
      <c r="D247" s="58">
        <v>5</v>
      </c>
      <c r="E247" s="56">
        <v>4.22</v>
      </c>
      <c r="F247" s="56">
        <v>4.22</v>
      </c>
      <c r="G247" s="56">
        <v>75.531</v>
      </c>
      <c r="H247" s="57">
        <v>5</v>
      </c>
    </row>
    <row r="248" spans="1:8" ht="15.75">
      <c r="A248" s="137">
        <v>4</v>
      </c>
      <c r="B248" s="14" t="s">
        <v>163</v>
      </c>
      <c r="C248" s="54">
        <v>0</v>
      </c>
      <c r="D248" s="58">
        <v>0</v>
      </c>
      <c r="E248" s="56">
        <v>0</v>
      </c>
      <c r="F248" s="56">
        <v>0</v>
      </c>
      <c r="G248" s="56">
        <v>2</v>
      </c>
      <c r="H248" s="57">
        <v>0</v>
      </c>
    </row>
    <row r="249" spans="1:8" ht="15.75">
      <c r="A249" s="21">
        <v>5</v>
      </c>
      <c r="B249" s="14" t="s">
        <v>164</v>
      </c>
      <c r="C249" s="54">
        <v>12</v>
      </c>
      <c r="D249" s="58">
        <v>430.91</v>
      </c>
      <c r="E249" s="56">
        <v>917.669</v>
      </c>
      <c r="F249" s="56">
        <v>642.368</v>
      </c>
      <c r="G249" s="56">
        <v>13765.042</v>
      </c>
      <c r="H249" s="57">
        <v>1150</v>
      </c>
    </row>
    <row r="250" spans="1:8" ht="15.75">
      <c r="A250" s="137">
        <v>6</v>
      </c>
      <c r="B250" s="14" t="s">
        <v>156</v>
      </c>
      <c r="C250" s="54">
        <v>1</v>
      </c>
      <c r="D250" s="58">
        <v>32.37</v>
      </c>
      <c r="E250" s="56">
        <v>0</v>
      </c>
      <c r="F250" s="56">
        <v>0</v>
      </c>
      <c r="G250" s="56">
        <v>0</v>
      </c>
      <c r="H250" s="57">
        <v>0</v>
      </c>
    </row>
    <row r="251" spans="1:8" ht="15.75">
      <c r="A251" s="21">
        <v>7</v>
      </c>
      <c r="B251" s="14" t="s">
        <v>166</v>
      </c>
      <c r="C251" s="54">
        <v>14</v>
      </c>
      <c r="D251" s="58">
        <v>806.75</v>
      </c>
      <c r="E251" s="56">
        <v>233.02</v>
      </c>
      <c r="F251" s="56">
        <v>139.811</v>
      </c>
      <c r="G251" s="56">
        <v>4318.415</v>
      </c>
      <c r="H251" s="57">
        <v>51</v>
      </c>
    </row>
    <row r="252" spans="1:8" ht="15.75">
      <c r="A252" s="137">
        <v>8</v>
      </c>
      <c r="B252" s="14" t="s">
        <v>142</v>
      </c>
      <c r="C252" s="54">
        <v>3</v>
      </c>
      <c r="D252" s="58">
        <v>49</v>
      </c>
      <c r="E252" s="56">
        <v>0.067</v>
      </c>
      <c r="F252" s="56">
        <v>0.067</v>
      </c>
      <c r="G252" s="56">
        <v>31.977</v>
      </c>
      <c r="H252" s="57">
        <v>10</v>
      </c>
    </row>
    <row r="253" spans="1:8" ht="15.75">
      <c r="A253" s="21">
        <v>9</v>
      </c>
      <c r="B253" s="14" t="s">
        <v>151</v>
      </c>
      <c r="C253" s="54">
        <v>5</v>
      </c>
      <c r="D253" s="58">
        <v>182.2</v>
      </c>
      <c r="E253" s="56">
        <v>18.29</v>
      </c>
      <c r="F253" s="56">
        <v>16.46</v>
      </c>
      <c r="G253" s="56">
        <v>120</v>
      </c>
      <c r="H253" s="57">
        <v>30</v>
      </c>
    </row>
    <row r="254" spans="1:8" ht="15.75">
      <c r="A254" s="21"/>
      <c r="B254" s="132" t="s">
        <v>143</v>
      </c>
      <c r="C254" s="13">
        <f aca="true" t="shared" si="27" ref="C254:H254">SUM(C245:C253)</f>
        <v>41</v>
      </c>
      <c r="D254" s="13">
        <f t="shared" si="27"/>
        <v>1530.23</v>
      </c>
      <c r="E254" s="13">
        <f t="shared" si="27"/>
        <v>1183.919</v>
      </c>
      <c r="F254" s="13">
        <f t="shared" si="27"/>
        <v>809.7660000000001</v>
      </c>
      <c r="G254" s="13">
        <f t="shared" si="27"/>
        <v>18453.335</v>
      </c>
      <c r="H254" s="13">
        <f t="shared" si="27"/>
        <v>1277</v>
      </c>
    </row>
    <row r="255" spans="1:8" ht="15.75">
      <c r="A255" s="75"/>
      <c r="B255" s="81"/>
      <c r="C255" s="90"/>
      <c r="D255" s="91"/>
      <c r="E255" s="92"/>
      <c r="F255" s="92"/>
      <c r="G255" s="92"/>
      <c r="H255" s="93"/>
    </row>
    <row r="256" spans="1:8" ht="22.5">
      <c r="A256" s="30"/>
      <c r="B256" s="31"/>
      <c r="C256" s="32"/>
      <c r="D256" s="133" t="s">
        <v>86</v>
      </c>
      <c r="E256" s="34"/>
      <c r="F256" s="34"/>
      <c r="G256" s="34"/>
      <c r="H256" s="35"/>
    </row>
    <row r="257" spans="1:8" ht="24.75" customHeight="1">
      <c r="A257" s="112" t="s">
        <v>3</v>
      </c>
      <c r="B257" s="113" t="s">
        <v>141</v>
      </c>
      <c r="C257" s="114" t="s">
        <v>5</v>
      </c>
      <c r="D257" s="115" t="s">
        <v>6</v>
      </c>
      <c r="E257" s="116" t="s">
        <v>7</v>
      </c>
      <c r="F257" s="117" t="s">
        <v>8</v>
      </c>
      <c r="G257" s="117" t="s">
        <v>9</v>
      </c>
      <c r="H257" s="118" t="s">
        <v>63</v>
      </c>
    </row>
    <row r="258" spans="1:8" ht="15.75">
      <c r="A258" s="21"/>
      <c r="B258" s="43"/>
      <c r="C258" s="44"/>
      <c r="D258" s="45" t="s">
        <v>11</v>
      </c>
      <c r="E258" s="46" t="s">
        <v>64</v>
      </c>
      <c r="F258" s="46" t="s">
        <v>65</v>
      </c>
      <c r="G258" s="46" t="s">
        <v>66</v>
      </c>
      <c r="H258" s="47" t="s">
        <v>15</v>
      </c>
    </row>
    <row r="259" spans="1:8" ht="15.75">
      <c r="A259" s="137">
        <v>1</v>
      </c>
      <c r="B259" s="14" t="s">
        <v>145</v>
      </c>
      <c r="C259" s="54">
        <v>1</v>
      </c>
      <c r="D259" s="58">
        <v>20</v>
      </c>
      <c r="E259" s="56">
        <v>1.655</v>
      </c>
      <c r="F259" s="56">
        <v>2.482</v>
      </c>
      <c r="G259" s="56">
        <v>40</v>
      </c>
      <c r="H259" s="57">
        <v>2</v>
      </c>
    </row>
    <row r="260" spans="1:8" ht="15.75">
      <c r="A260" s="21">
        <v>2</v>
      </c>
      <c r="B260" s="14" t="s">
        <v>149</v>
      </c>
      <c r="C260" s="54">
        <v>0</v>
      </c>
      <c r="D260" s="58">
        <v>0</v>
      </c>
      <c r="E260" s="56">
        <v>0</v>
      </c>
      <c r="F260" s="56">
        <v>0</v>
      </c>
      <c r="G260" s="56">
        <v>35.628</v>
      </c>
      <c r="H260" s="57">
        <v>0</v>
      </c>
    </row>
    <row r="261" spans="1:8" ht="15.75">
      <c r="A261" s="21">
        <v>3</v>
      </c>
      <c r="B261" s="14" t="s">
        <v>150</v>
      </c>
      <c r="C261" s="54">
        <v>2</v>
      </c>
      <c r="D261" s="58">
        <v>25</v>
      </c>
      <c r="E261" s="56">
        <v>0</v>
      </c>
      <c r="F261" s="56">
        <v>0</v>
      </c>
      <c r="G261" s="56">
        <v>23.3</v>
      </c>
      <c r="H261" s="57">
        <v>0</v>
      </c>
    </row>
    <row r="262" spans="1:8" ht="15.75">
      <c r="A262" s="21">
        <v>4</v>
      </c>
      <c r="B262" s="14" t="s">
        <v>151</v>
      </c>
      <c r="C262" s="54">
        <v>5</v>
      </c>
      <c r="D262" s="58">
        <v>148.85</v>
      </c>
      <c r="E262" s="56">
        <v>12.963</v>
      </c>
      <c r="F262" s="56">
        <v>23.334</v>
      </c>
      <c r="G262" s="56">
        <v>103</v>
      </c>
      <c r="H262" s="57">
        <v>180</v>
      </c>
    </row>
    <row r="263" spans="1:8" ht="15.75">
      <c r="A263" s="21"/>
      <c r="B263" s="132" t="s">
        <v>143</v>
      </c>
      <c r="C263" s="13">
        <f aca="true" t="shared" si="28" ref="C263:H263">SUM(C259:C262)</f>
        <v>8</v>
      </c>
      <c r="D263" s="13">
        <f t="shared" si="28"/>
        <v>193.85</v>
      </c>
      <c r="E263" s="13">
        <f t="shared" si="28"/>
        <v>14.617999999999999</v>
      </c>
      <c r="F263" s="13">
        <f t="shared" si="28"/>
        <v>25.816</v>
      </c>
      <c r="G263" s="13">
        <f t="shared" si="28"/>
        <v>201.928</v>
      </c>
      <c r="H263" s="13">
        <f t="shared" si="28"/>
        <v>182</v>
      </c>
    </row>
    <row r="264" spans="1:8" ht="15.75">
      <c r="A264" s="75"/>
      <c r="B264" s="81"/>
      <c r="C264" s="90"/>
      <c r="D264" s="91"/>
      <c r="E264" s="92"/>
      <c r="F264" s="92"/>
      <c r="G264" s="92"/>
      <c r="H264" s="93"/>
    </row>
    <row r="265" spans="1:8" ht="19.5" customHeight="1">
      <c r="A265" s="30"/>
      <c r="B265" s="31"/>
      <c r="C265" s="32"/>
      <c r="D265" s="133" t="s">
        <v>75</v>
      </c>
      <c r="E265" s="34"/>
      <c r="F265" s="34"/>
      <c r="G265" s="34"/>
      <c r="H265" s="35"/>
    </row>
    <row r="266" spans="1:8" ht="27.75" customHeight="1">
      <c r="A266" s="36" t="s">
        <v>3</v>
      </c>
      <c r="B266" s="37" t="s">
        <v>141</v>
      </c>
      <c r="C266" s="114" t="s">
        <v>5</v>
      </c>
      <c r="D266" s="115" t="s">
        <v>6</v>
      </c>
      <c r="E266" s="116" t="s">
        <v>7</v>
      </c>
      <c r="F266" s="41" t="s">
        <v>8</v>
      </c>
      <c r="G266" s="41" t="s">
        <v>9</v>
      </c>
      <c r="H266" s="42" t="s">
        <v>63</v>
      </c>
    </row>
    <row r="267" spans="1:8" ht="15.75">
      <c r="A267" s="21"/>
      <c r="B267" s="43"/>
      <c r="C267" s="44"/>
      <c r="D267" s="45" t="s">
        <v>11</v>
      </c>
      <c r="E267" s="46" t="s">
        <v>64</v>
      </c>
      <c r="F267" s="46" t="s">
        <v>65</v>
      </c>
      <c r="G267" s="46" t="s">
        <v>66</v>
      </c>
      <c r="H267" s="47" t="s">
        <v>15</v>
      </c>
    </row>
    <row r="268" spans="1:8" ht="15.75">
      <c r="A268" s="21">
        <v>1</v>
      </c>
      <c r="B268" s="14" t="s">
        <v>148</v>
      </c>
      <c r="C268" s="54">
        <v>86</v>
      </c>
      <c r="D268" s="58">
        <v>798.02</v>
      </c>
      <c r="E268" s="56">
        <v>72.428</v>
      </c>
      <c r="F268" s="56">
        <v>144.856</v>
      </c>
      <c r="G268" s="56">
        <f>7485.268-755.5</f>
        <v>6729.768</v>
      </c>
      <c r="H268" s="57">
        <v>1030</v>
      </c>
    </row>
    <row r="269" spans="1:8" ht="15.75">
      <c r="A269" s="21">
        <v>2</v>
      </c>
      <c r="B269" s="14" t="s">
        <v>145</v>
      </c>
      <c r="C269" s="54">
        <v>0</v>
      </c>
      <c r="D269" s="58">
        <v>0</v>
      </c>
      <c r="E269" s="56">
        <v>0.91</v>
      </c>
      <c r="F269" s="56">
        <v>2.138</v>
      </c>
      <c r="G269" s="56">
        <v>10.8</v>
      </c>
      <c r="H269" s="57">
        <v>7</v>
      </c>
    </row>
    <row r="270" spans="1:8" ht="15.75">
      <c r="A270" s="21">
        <v>3</v>
      </c>
      <c r="B270" s="14" t="s">
        <v>153</v>
      </c>
      <c r="C270" s="54">
        <v>111</v>
      </c>
      <c r="D270" s="58">
        <v>505.898</v>
      </c>
      <c r="E270" s="56">
        <v>5.049</v>
      </c>
      <c r="F270" s="56">
        <v>10.1</v>
      </c>
      <c r="G270" s="56">
        <v>411.886</v>
      </c>
      <c r="H270" s="57">
        <f>15*20</f>
        <v>300</v>
      </c>
    </row>
    <row r="271" spans="1:8" ht="15.75">
      <c r="A271" s="21">
        <v>4</v>
      </c>
      <c r="B271" s="14" t="s">
        <v>149</v>
      </c>
      <c r="C271" s="54">
        <v>0</v>
      </c>
      <c r="D271" s="58">
        <v>0</v>
      </c>
      <c r="E271" s="56">
        <v>37.713</v>
      </c>
      <c r="F271" s="56">
        <v>56.57</v>
      </c>
      <c r="G271" s="56">
        <v>0</v>
      </c>
      <c r="H271" s="57">
        <v>0</v>
      </c>
    </row>
    <row r="272" spans="1:8" ht="15.75">
      <c r="A272" s="21">
        <v>5</v>
      </c>
      <c r="B272" s="14" t="s">
        <v>164</v>
      </c>
      <c r="C272" s="54">
        <v>4</v>
      </c>
      <c r="D272" s="58">
        <v>16.107</v>
      </c>
      <c r="E272" s="56">
        <v>6.715</v>
      </c>
      <c r="F272" s="56">
        <v>26.86</v>
      </c>
      <c r="G272" s="56">
        <v>134.318</v>
      </c>
      <c r="H272" s="57">
        <v>25</v>
      </c>
    </row>
    <row r="273" spans="1:8" ht="15.75">
      <c r="A273" s="21">
        <v>6</v>
      </c>
      <c r="B273" s="14" t="s">
        <v>146</v>
      </c>
      <c r="C273" s="54">
        <v>1</v>
      </c>
      <c r="D273" s="58">
        <v>62.25</v>
      </c>
      <c r="E273" s="56">
        <v>0</v>
      </c>
      <c r="F273" s="56">
        <v>0</v>
      </c>
      <c r="G273" s="56">
        <v>0</v>
      </c>
      <c r="H273" s="57">
        <v>5</v>
      </c>
    </row>
    <row r="274" spans="1:8" ht="15.75">
      <c r="A274" s="21">
        <v>7</v>
      </c>
      <c r="B274" s="14" t="s">
        <v>176</v>
      </c>
      <c r="C274" s="54">
        <v>4</v>
      </c>
      <c r="D274" s="58">
        <v>223.59</v>
      </c>
      <c r="E274" s="56">
        <v>0</v>
      </c>
      <c r="F274" s="56">
        <v>0</v>
      </c>
      <c r="G274" s="56">
        <v>0</v>
      </c>
      <c r="H274" s="57">
        <v>0</v>
      </c>
    </row>
    <row r="275" spans="1:8" ht="15.75">
      <c r="A275" s="21">
        <v>8</v>
      </c>
      <c r="B275" s="14" t="s">
        <v>147</v>
      </c>
      <c r="C275" s="54">
        <v>6</v>
      </c>
      <c r="D275" s="58">
        <v>177.01</v>
      </c>
      <c r="E275" s="56">
        <v>8.06</v>
      </c>
      <c r="F275" s="56">
        <v>18.136</v>
      </c>
      <c r="G275" s="56">
        <v>140</v>
      </c>
      <c r="H275" s="57">
        <v>22</v>
      </c>
    </row>
    <row r="276" spans="1:8" ht="15.75">
      <c r="A276" s="21">
        <v>9</v>
      </c>
      <c r="B276" s="14" t="s">
        <v>172</v>
      </c>
      <c r="C276" s="54">
        <v>11</v>
      </c>
      <c r="D276" s="58">
        <v>73.828</v>
      </c>
      <c r="E276" s="56">
        <v>10.107</v>
      </c>
      <c r="F276" s="56">
        <v>50.535</v>
      </c>
      <c r="G276" s="56">
        <f>541.526-187.6</f>
        <v>353.92599999999993</v>
      </c>
      <c r="H276" s="57">
        <v>36</v>
      </c>
    </row>
    <row r="277" spans="1:8" ht="15.75">
      <c r="A277" s="21">
        <v>10</v>
      </c>
      <c r="B277" s="14" t="s">
        <v>150</v>
      </c>
      <c r="C277" s="54">
        <v>20</v>
      </c>
      <c r="D277" s="58">
        <v>95.63</v>
      </c>
      <c r="E277" s="56">
        <v>39.1</v>
      </c>
      <c r="F277" s="56">
        <v>39.1</v>
      </c>
      <c r="G277" s="56">
        <f>854.665+46</f>
        <v>900.665</v>
      </c>
      <c r="H277" s="57">
        <v>260</v>
      </c>
    </row>
    <row r="278" spans="1:8" ht="15.75">
      <c r="A278" s="21">
        <v>11</v>
      </c>
      <c r="B278" s="14" t="s">
        <v>142</v>
      </c>
      <c r="C278" s="54">
        <v>16</v>
      </c>
      <c r="D278" s="58">
        <v>239</v>
      </c>
      <c r="E278" s="56">
        <v>98.498</v>
      </c>
      <c r="F278" s="56">
        <v>147.747</v>
      </c>
      <c r="G278" s="56">
        <v>1787.362</v>
      </c>
      <c r="H278" s="57">
        <v>200</v>
      </c>
    </row>
    <row r="279" spans="1:8" ht="15.75">
      <c r="A279" s="21">
        <v>12</v>
      </c>
      <c r="B279" s="14" t="s">
        <v>159</v>
      </c>
      <c r="C279" s="54">
        <v>1</v>
      </c>
      <c r="D279" s="58">
        <v>5</v>
      </c>
      <c r="E279" s="56">
        <v>3.45</v>
      </c>
      <c r="F279" s="56">
        <v>3.45</v>
      </c>
      <c r="G279" s="56">
        <v>69</v>
      </c>
      <c r="H279" s="57">
        <v>4</v>
      </c>
    </row>
    <row r="280" spans="1:8" ht="15.75">
      <c r="A280" s="21">
        <v>13</v>
      </c>
      <c r="B280" s="14" t="s">
        <v>154</v>
      </c>
      <c r="C280" s="54">
        <v>12</v>
      </c>
      <c r="D280" s="58">
        <v>299.349</v>
      </c>
      <c r="E280" s="56">
        <v>20.382</v>
      </c>
      <c r="F280" s="56">
        <v>16.306</v>
      </c>
      <c r="G280" s="56">
        <v>1391.523</v>
      </c>
      <c r="H280" s="57">
        <v>178</v>
      </c>
    </row>
    <row r="281" spans="1:8" ht="15.75">
      <c r="A281" s="21">
        <v>14</v>
      </c>
      <c r="B281" s="14" t="s">
        <v>173</v>
      </c>
      <c r="C281" s="54">
        <v>24</v>
      </c>
      <c r="D281" s="58">
        <v>719.33</v>
      </c>
      <c r="E281" s="56">
        <v>31.35</v>
      </c>
      <c r="F281" s="56">
        <v>62.7</v>
      </c>
      <c r="G281" s="56">
        <f>627+40</f>
        <v>667</v>
      </c>
      <c r="H281" s="57">
        <v>180</v>
      </c>
    </row>
    <row r="282" spans="1:8" ht="15.75">
      <c r="A282" s="21">
        <v>15</v>
      </c>
      <c r="B282" s="14" t="s">
        <v>151</v>
      </c>
      <c r="C282" s="54">
        <v>8</v>
      </c>
      <c r="D282" s="58">
        <v>55.37</v>
      </c>
      <c r="E282" s="56">
        <v>5.4</v>
      </c>
      <c r="F282" s="56">
        <v>19.44</v>
      </c>
      <c r="G282" s="56">
        <v>1008</v>
      </c>
      <c r="H282" s="57">
        <v>0</v>
      </c>
    </row>
    <row r="283" spans="1:8" s="136" customFormat="1" ht="15.75">
      <c r="A283" s="99"/>
      <c r="B283" s="132" t="s">
        <v>143</v>
      </c>
      <c r="C283" s="13">
        <f aca="true" t="shared" si="29" ref="C283:H283">SUM(C268:C282)</f>
        <v>304</v>
      </c>
      <c r="D283" s="13">
        <f t="shared" si="29"/>
        <v>3270.382</v>
      </c>
      <c r="E283" s="13">
        <f t="shared" si="29"/>
        <v>339.162</v>
      </c>
      <c r="F283" s="13">
        <f t="shared" si="29"/>
        <v>597.9380000000002</v>
      </c>
      <c r="G283" s="13">
        <f t="shared" si="29"/>
        <v>13604.248000000001</v>
      </c>
      <c r="H283" s="13">
        <f t="shared" si="29"/>
        <v>2247</v>
      </c>
    </row>
    <row r="284" spans="1:8" ht="15.75">
      <c r="A284" s="75"/>
      <c r="B284" s="81"/>
      <c r="C284" s="90"/>
      <c r="D284" s="91"/>
      <c r="E284" s="92"/>
      <c r="F284" s="92"/>
      <c r="G284" s="92"/>
      <c r="H284" s="93"/>
    </row>
    <row r="285" spans="1:8" ht="22.5">
      <c r="A285" s="30"/>
      <c r="B285" s="31"/>
      <c r="C285" s="32"/>
      <c r="D285" s="131" t="s">
        <v>137</v>
      </c>
      <c r="E285" s="34"/>
      <c r="F285" s="34"/>
      <c r="G285" s="34"/>
      <c r="H285" s="35"/>
    </row>
    <row r="286" spans="1:8" ht="31.5">
      <c r="A286" s="36" t="s">
        <v>3</v>
      </c>
      <c r="B286" s="37" t="s">
        <v>141</v>
      </c>
      <c r="C286" s="38" t="s">
        <v>5</v>
      </c>
      <c r="D286" s="39" t="s">
        <v>6</v>
      </c>
      <c r="E286" s="40" t="s">
        <v>7</v>
      </c>
      <c r="F286" s="41" t="s">
        <v>8</v>
      </c>
      <c r="G286" s="41" t="s">
        <v>9</v>
      </c>
      <c r="H286" s="42" t="s">
        <v>63</v>
      </c>
    </row>
    <row r="287" spans="1:8" ht="15.75">
      <c r="A287" s="21"/>
      <c r="B287" s="43"/>
      <c r="C287" s="44"/>
      <c r="D287" s="45" t="s">
        <v>11</v>
      </c>
      <c r="E287" s="46" t="s">
        <v>64</v>
      </c>
      <c r="F287" s="46" t="s">
        <v>65</v>
      </c>
      <c r="G287" s="46" t="s">
        <v>66</v>
      </c>
      <c r="H287" s="47" t="s">
        <v>15</v>
      </c>
    </row>
    <row r="288" spans="1:8" ht="15.75">
      <c r="A288" s="21">
        <v>1</v>
      </c>
      <c r="B288" s="14" t="s">
        <v>151</v>
      </c>
      <c r="C288" s="54">
        <v>6</v>
      </c>
      <c r="D288" s="58">
        <v>2533.98</v>
      </c>
      <c r="E288" s="56">
        <v>1819.027</v>
      </c>
      <c r="F288" s="56">
        <v>21828.324</v>
      </c>
      <c r="G288" s="56">
        <f>301520-1008</f>
        <v>300512</v>
      </c>
      <c r="H288" s="57">
        <v>940</v>
      </c>
    </row>
    <row r="289" spans="1:8" ht="15.75">
      <c r="A289" s="21"/>
      <c r="B289" s="132" t="s">
        <v>143</v>
      </c>
      <c r="C289" s="54">
        <f aca="true" t="shared" si="30" ref="C289:H289">SUM(C288)</f>
        <v>6</v>
      </c>
      <c r="D289" s="54">
        <f t="shared" si="30"/>
        <v>2533.98</v>
      </c>
      <c r="E289" s="54">
        <f t="shared" si="30"/>
        <v>1819.027</v>
      </c>
      <c r="F289" s="54">
        <f t="shared" si="30"/>
        <v>21828.324</v>
      </c>
      <c r="G289" s="56">
        <f t="shared" si="30"/>
        <v>300512</v>
      </c>
      <c r="H289" s="54">
        <f t="shared" si="30"/>
        <v>940</v>
      </c>
    </row>
    <row r="290" spans="1:8" ht="15.75">
      <c r="A290" s="75"/>
      <c r="B290" s="81"/>
      <c r="C290" s="90"/>
      <c r="D290" s="91"/>
      <c r="E290" s="92"/>
      <c r="F290" s="92"/>
      <c r="G290" s="92"/>
      <c r="H290" s="93"/>
    </row>
    <row r="291" spans="1:8" ht="22.5">
      <c r="A291" s="30"/>
      <c r="B291" s="31"/>
      <c r="C291" s="32"/>
      <c r="D291" s="131" t="s">
        <v>96</v>
      </c>
      <c r="E291" s="34"/>
      <c r="F291" s="34"/>
      <c r="G291" s="34"/>
      <c r="H291" s="35"/>
    </row>
    <row r="292" spans="1:8" ht="31.5">
      <c r="A292" s="36" t="s">
        <v>3</v>
      </c>
      <c r="B292" s="37" t="s">
        <v>141</v>
      </c>
      <c r="C292" s="38" t="s">
        <v>5</v>
      </c>
      <c r="D292" s="39" t="s">
        <v>6</v>
      </c>
      <c r="E292" s="40" t="s">
        <v>7</v>
      </c>
      <c r="F292" s="41" t="s">
        <v>8</v>
      </c>
      <c r="G292" s="41" t="s">
        <v>9</v>
      </c>
      <c r="H292" s="42" t="s">
        <v>63</v>
      </c>
    </row>
    <row r="293" spans="1:8" ht="15.75">
      <c r="A293" s="21"/>
      <c r="B293" s="43"/>
      <c r="C293" s="44"/>
      <c r="D293" s="45" t="s">
        <v>11</v>
      </c>
      <c r="E293" s="46" t="s">
        <v>64</v>
      </c>
      <c r="F293" s="46" t="s">
        <v>65</v>
      </c>
      <c r="G293" s="46" t="s">
        <v>66</v>
      </c>
      <c r="H293" s="47" t="s">
        <v>15</v>
      </c>
    </row>
    <row r="294" spans="1:8" ht="15.75">
      <c r="A294" s="21">
        <v>1</v>
      </c>
      <c r="B294" s="14" t="s">
        <v>161</v>
      </c>
      <c r="C294" s="54">
        <v>3</v>
      </c>
      <c r="D294" s="58">
        <v>402.62</v>
      </c>
      <c r="E294" s="56">
        <v>0</v>
      </c>
      <c r="F294" s="56">
        <v>0</v>
      </c>
      <c r="G294" s="56">
        <v>226.835</v>
      </c>
      <c r="H294" s="57">
        <v>0</v>
      </c>
    </row>
    <row r="295" spans="1:8" ht="15.75">
      <c r="A295" s="21">
        <v>2</v>
      </c>
      <c r="B295" s="14" t="s">
        <v>155</v>
      </c>
      <c r="C295" s="54">
        <v>1</v>
      </c>
      <c r="D295" s="58">
        <v>531</v>
      </c>
      <c r="E295" s="56">
        <v>0</v>
      </c>
      <c r="F295" s="56">
        <v>0</v>
      </c>
      <c r="G295" s="56">
        <v>207.2</v>
      </c>
      <c r="H295" s="57">
        <v>0</v>
      </c>
    </row>
    <row r="296" spans="1:8" ht="15.75">
      <c r="A296" s="21"/>
      <c r="B296" s="132" t="s">
        <v>143</v>
      </c>
      <c r="C296" s="13">
        <f aca="true" t="shared" si="31" ref="C296:H296">SUM(C294:C295)</f>
        <v>4</v>
      </c>
      <c r="D296" s="13">
        <f t="shared" si="31"/>
        <v>933.62</v>
      </c>
      <c r="E296" s="15">
        <f t="shared" si="31"/>
        <v>0</v>
      </c>
      <c r="F296" s="15">
        <f t="shared" si="31"/>
        <v>0</v>
      </c>
      <c r="G296" s="13">
        <f t="shared" si="31"/>
        <v>434.03499999999997</v>
      </c>
      <c r="H296" s="13">
        <f t="shared" si="31"/>
        <v>0</v>
      </c>
    </row>
    <row r="297" spans="1:8" ht="15.75">
      <c r="A297" s="75"/>
      <c r="B297" s="81"/>
      <c r="C297" s="90"/>
      <c r="D297" s="91"/>
      <c r="E297" s="92"/>
      <c r="F297" s="92"/>
      <c r="G297" s="92"/>
      <c r="H297" s="93"/>
    </row>
    <row r="298" spans="1:8" ht="22.5">
      <c r="A298" s="75"/>
      <c r="B298" s="89"/>
      <c r="C298" s="90"/>
      <c r="D298" s="131" t="s">
        <v>87</v>
      </c>
      <c r="E298" s="92"/>
      <c r="F298" s="92"/>
      <c r="G298" s="92"/>
      <c r="H298" s="93"/>
    </row>
    <row r="299" spans="1:8" ht="31.5">
      <c r="A299" s="36" t="s">
        <v>3</v>
      </c>
      <c r="B299" s="37" t="s">
        <v>141</v>
      </c>
      <c r="C299" s="38" t="s">
        <v>5</v>
      </c>
      <c r="D299" s="39" t="s">
        <v>6</v>
      </c>
      <c r="E299" s="40" t="s">
        <v>7</v>
      </c>
      <c r="F299" s="41" t="s">
        <v>8</v>
      </c>
      <c r="G299" s="41" t="s">
        <v>9</v>
      </c>
      <c r="H299" s="42" t="s">
        <v>63</v>
      </c>
    </row>
    <row r="300" spans="1:8" ht="15.75">
      <c r="A300" s="21"/>
      <c r="B300" s="43"/>
      <c r="C300" s="44"/>
      <c r="D300" s="45" t="s">
        <v>11</v>
      </c>
      <c r="E300" s="46" t="s">
        <v>64</v>
      </c>
      <c r="F300" s="46" t="s">
        <v>65</v>
      </c>
      <c r="G300" s="46" t="s">
        <v>66</v>
      </c>
      <c r="H300" s="47" t="s">
        <v>15</v>
      </c>
    </row>
    <row r="301" spans="1:8" ht="15.75">
      <c r="A301" s="137">
        <v>1</v>
      </c>
      <c r="B301" s="14" t="s">
        <v>145</v>
      </c>
      <c r="C301" s="54">
        <v>2</v>
      </c>
      <c r="D301" s="58">
        <v>8.73</v>
      </c>
      <c r="E301" s="56">
        <v>5.76</v>
      </c>
      <c r="F301" s="56">
        <v>9.504</v>
      </c>
      <c r="G301" s="56">
        <v>135</v>
      </c>
      <c r="H301" s="57">
        <v>3</v>
      </c>
    </row>
    <row r="302" spans="1:8" ht="15.75">
      <c r="A302" s="21">
        <v>2</v>
      </c>
      <c r="B302" s="14" t="s">
        <v>171</v>
      </c>
      <c r="C302" s="54">
        <v>23</v>
      </c>
      <c r="D302" s="58">
        <v>1438.55</v>
      </c>
      <c r="E302" s="56">
        <v>636.944</v>
      </c>
      <c r="F302" s="56">
        <v>127.39</v>
      </c>
      <c r="G302" s="56">
        <v>12739</v>
      </c>
      <c r="H302" s="57">
        <v>577</v>
      </c>
    </row>
    <row r="303" spans="1:8" ht="15.75">
      <c r="A303" s="137">
        <v>3</v>
      </c>
      <c r="B303" s="14" t="s">
        <v>149</v>
      </c>
      <c r="C303" s="54">
        <v>1</v>
      </c>
      <c r="D303" s="58">
        <v>5</v>
      </c>
      <c r="E303" s="56">
        <v>0</v>
      </c>
      <c r="F303" s="56">
        <v>0</v>
      </c>
      <c r="G303" s="56">
        <v>0</v>
      </c>
      <c r="H303" s="57">
        <v>0</v>
      </c>
    </row>
    <row r="304" spans="1:8" ht="15.75">
      <c r="A304" s="21">
        <v>4</v>
      </c>
      <c r="B304" s="14" t="s">
        <v>163</v>
      </c>
      <c r="C304" s="54">
        <v>2</v>
      </c>
      <c r="D304" s="58">
        <v>357</v>
      </c>
      <c r="E304" s="56">
        <v>58.948</v>
      </c>
      <c r="F304" s="56">
        <v>206.31</v>
      </c>
      <c r="G304" s="56">
        <v>890.629</v>
      </c>
      <c r="H304" s="57">
        <v>128</v>
      </c>
    </row>
    <row r="305" spans="1:8" ht="15.75">
      <c r="A305" s="137">
        <v>5</v>
      </c>
      <c r="B305" s="14" t="s">
        <v>164</v>
      </c>
      <c r="C305" s="54">
        <v>0</v>
      </c>
      <c r="D305" s="58">
        <v>0</v>
      </c>
      <c r="E305" s="56">
        <v>3.712</v>
      </c>
      <c r="F305" s="56">
        <v>3.712</v>
      </c>
      <c r="G305" s="56">
        <v>74.25</v>
      </c>
      <c r="H305" s="57">
        <v>18</v>
      </c>
    </row>
    <row r="306" spans="1:8" ht="15.75">
      <c r="A306" s="21">
        <v>6</v>
      </c>
      <c r="B306" s="14" t="s">
        <v>146</v>
      </c>
      <c r="C306" s="54">
        <v>16</v>
      </c>
      <c r="D306" s="58">
        <f>670.7+41.44</f>
        <v>712.1400000000001</v>
      </c>
      <c r="E306" s="56">
        <v>32.33</v>
      </c>
      <c r="F306" s="56">
        <v>56.577</v>
      </c>
      <c r="G306" s="56">
        <v>2098.5</v>
      </c>
      <c r="H306" s="57">
        <v>100</v>
      </c>
    </row>
    <row r="307" spans="1:8" ht="15.75">
      <c r="A307" s="137">
        <v>7</v>
      </c>
      <c r="B307" s="14" t="s">
        <v>147</v>
      </c>
      <c r="C307" s="54">
        <v>1</v>
      </c>
      <c r="D307" s="58">
        <v>66.5</v>
      </c>
      <c r="E307" s="56">
        <v>0</v>
      </c>
      <c r="F307" s="56">
        <v>0</v>
      </c>
      <c r="G307" s="56">
        <v>30</v>
      </c>
      <c r="H307" s="57">
        <v>0</v>
      </c>
    </row>
    <row r="308" spans="1:8" ht="15.75">
      <c r="A308" s="21">
        <v>8</v>
      </c>
      <c r="B308" s="14" t="s">
        <v>167</v>
      </c>
      <c r="C308" s="54">
        <v>29</v>
      </c>
      <c r="D308" s="58">
        <v>1002</v>
      </c>
      <c r="E308" s="56">
        <v>167.71</v>
      </c>
      <c r="F308" s="56">
        <v>402.504</v>
      </c>
      <c r="G308" s="56">
        <v>3893</v>
      </c>
      <c r="H308" s="57">
        <v>400</v>
      </c>
    </row>
    <row r="309" spans="1:8" ht="15.75">
      <c r="A309" s="137">
        <v>9</v>
      </c>
      <c r="B309" s="14" t="s">
        <v>142</v>
      </c>
      <c r="C309" s="54">
        <v>18</v>
      </c>
      <c r="D309" s="58">
        <f>252.59+29</f>
        <v>281.59000000000003</v>
      </c>
      <c r="E309" s="56">
        <v>28.625</v>
      </c>
      <c r="F309" s="56">
        <v>42.937</v>
      </c>
      <c r="G309" s="56">
        <v>1714.021</v>
      </c>
      <c r="H309" s="57">
        <v>150</v>
      </c>
    </row>
    <row r="310" spans="1:8" ht="15.75">
      <c r="A310" s="21">
        <v>10</v>
      </c>
      <c r="B310" s="14" t="s">
        <v>173</v>
      </c>
      <c r="C310" s="54">
        <v>7</v>
      </c>
      <c r="D310" s="58">
        <v>290.85</v>
      </c>
      <c r="E310" s="56">
        <v>34.85</v>
      </c>
      <c r="F310" s="56">
        <v>69.7</v>
      </c>
      <c r="G310" s="56">
        <v>697</v>
      </c>
      <c r="H310" s="57">
        <v>80</v>
      </c>
    </row>
    <row r="311" spans="1:8" ht="15.75">
      <c r="A311" s="21"/>
      <c r="B311" s="132" t="s">
        <v>143</v>
      </c>
      <c r="C311" s="13">
        <f aca="true" t="shared" si="32" ref="C311:H311">SUM(C301:C310)</f>
        <v>99</v>
      </c>
      <c r="D311" s="13">
        <f t="shared" si="32"/>
        <v>4162.360000000001</v>
      </c>
      <c r="E311" s="13">
        <f t="shared" si="32"/>
        <v>968.879</v>
      </c>
      <c r="F311" s="13">
        <f t="shared" si="32"/>
        <v>918.6340000000001</v>
      </c>
      <c r="G311" s="15">
        <f t="shared" si="32"/>
        <v>22271.4</v>
      </c>
      <c r="H311" s="13">
        <f t="shared" si="32"/>
        <v>1456</v>
      </c>
    </row>
    <row r="312" spans="1:8" ht="15.75">
      <c r="A312" s="75"/>
      <c r="B312" s="81"/>
      <c r="C312" s="90"/>
      <c r="D312" s="91"/>
      <c r="E312" s="92"/>
      <c r="F312" s="92"/>
      <c r="G312" s="92"/>
      <c r="H312" s="93"/>
    </row>
    <row r="313" spans="1:8" ht="22.5">
      <c r="A313" s="75"/>
      <c r="B313" s="89"/>
      <c r="C313" s="90"/>
      <c r="D313" s="131" t="s">
        <v>97</v>
      </c>
      <c r="E313" s="92"/>
      <c r="F313" s="92"/>
      <c r="G313" s="92"/>
      <c r="H313" s="93"/>
    </row>
    <row r="314" spans="1:8" ht="31.5">
      <c r="A314" s="36" t="s">
        <v>3</v>
      </c>
      <c r="B314" s="37" t="s">
        <v>141</v>
      </c>
      <c r="C314" s="38" t="s">
        <v>5</v>
      </c>
      <c r="D314" s="39" t="s">
        <v>6</v>
      </c>
      <c r="E314" s="40" t="s">
        <v>7</v>
      </c>
      <c r="F314" s="41" t="s">
        <v>8</v>
      </c>
      <c r="G314" s="41" t="s">
        <v>9</v>
      </c>
      <c r="H314" s="42" t="s">
        <v>63</v>
      </c>
    </row>
    <row r="315" spans="1:8" ht="15.75">
      <c r="A315" s="21"/>
      <c r="B315" s="43"/>
      <c r="C315" s="44"/>
      <c r="D315" s="45" t="s">
        <v>11</v>
      </c>
      <c r="E315" s="46" t="s">
        <v>64</v>
      </c>
      <c r="F315" s="46" t="s">
        <v>65</v>
      </c>
      <c r="G315" s="46" t="s">
        <v>66</v>
      </c>
      <c r="H315" s="47" t="s">
        <v>15</v>
      </c>
    </row>
    <row r="316" spans="1:8" ht="15.75">
      <c r="A316" s="21">
        <v>1</v>
      </c>
      <c r="B316" s="14" t="s">
        <v>161</v>
      </c>
      <c r="C316" s="54">
        <v>5</v>
      </c>
      <c r="D316" s="58">
        <v>94.99</v>
      </c>
      <c r="E316" s="56">
        <v>1.42</v>
      </c>
      <c r="F316" s="56">
        <v>3.999</v>
      </c>
      <c r="G316" s="56">
        <v>40</v>
      </c>
      <c r="H316" s="57">
        <v>20</v>
      </c>
    </row>
    <row r="317" spans="1:8" ht="15.75">
      <c r="A317" s="137">
        <v>2</v>
      </c>
      <c r="B317" s="14" t="s">
        <v>156</v>
      </c>
      <c r="C317" s="54">
        <v>8</v>
      </c>
      <c r="D317" s="58">
        <v>385</v>
      </c>
      <c r="E317" s="56">
        <v>0.4</v>
      </c>
      <c r="F317" s="56">
        <v>0.98</v>
      </c>
      <c r="G317" s="56">
        <v>157</v>
      </c>
      <c r="H317" s="57">
        <v>8</v>
      </c>
    </row>
    <row r="318" spans="1:8" ht="15.75">
      <c r="A318" s="36"/>
      <c r="B318" s="132" t="s">
        <v>143</v>
      </c>
      <c r="C318" s="13">
        <f aca="true" t="shared" si="33" ref="C318:H318">SUM(C316:C317)</f>
        <v>13</v>
      </c>
      <c r="D318" s="13">
        <f t="shared" si="33"/>
        <v>479.99</v>
      </c>
      <c r="E318" s="13">
        <f t="shared" si="33"/>
        <v>1.8199999999999998</v>
      </c>
      <c r="F318" s="13">
        <f t="shared" si="33"/>
        <v>4.979</v>
      </c>
      <c r="G318" s="15">
        <f t="shared" si="33"/>
        <v>197</v>
      </c>
      <c r="H318" s="13">
        <f t="shared" si="33"/>
        <v>28</v>
      </c>
    </row>
    <row r="319" spans="1:8" ht="15.75">
      <c r="A319" s="138"/>
      <c r="B319" s="81"/>
      <c r="C319" s="90"/>
      <c r="D319" s="91"/>
      <c r="E319" s="92"/>
      <c r="F319" s="92"/>
      <c r="G319" s="92"/>
      <c r="H319" s="93"/>
    </row>
    <row r="320" spans="1:8" ht="22.5">
      <c r="A320" s="75"/>
      <c r="B320" s="89"/>
      <c r="C320" s="90"/>
      <c r="D320" s="131" t="s">
        <v>139</v>
      </c>
      <c r="E320" s="92"/>
      <c r="F320" s="92"/>
      <c r="G320" s="92"/>
      <c r="H320" s="93"/>
    </row>
    <row r="321" spans="1:8" ht="31.5">
      <c r="A321" s="36" t="s">
        <v>3</v>
      </c>
      <c r="B321" s="37" t="s">
        <v>141</v>
      </c>
      <c r="C321" s="38" t="s">
        <v>5</v>
      </c>
      <c r="D321" s="39" t="s">
        <v>6</v>
      </c>
      <c r="E321" s="40" t="s">
        <v>7</v>
      </c>
      <c r="F321" s="41" t="s">
        <v>8</v>
      </c>
      <c r="G321" s="41" t="s">
        <v>9</v>
      </c>
      <c r="H321" s="42" t="s">
        <v>63</v>
      </c>
    </row>
    <row r="322" spans="1:8" ht="15.75">
      <c r="A322" s="21"/>
      <c r="B322" s="43"/>
      <c r="C322" s="44"/>
      <c r="D322" s="45" t="s">
        <v>11</v>
      </c>
      <c r="E322" s="46" t="s">
        <v>64</v>
      </c>
      <c r="F322" s="46" t="s">
        <v>65</v>
      </c>
      <c r="G322" s="46" t="s">
        <v>66</v>
      </c>
      <c r="H322" s="47" t="s">
        <v>15</v>
      </c>
    </row>
    <row r="323" spans="1:8" ht="15.75">
      <c r="A323" s="21">
        <v>1</v>
      </c>
      <c r="B323" s="14" t="s">
        <v>151</v>
      </c>
      <c r="C323" s="54">
        <v>1</v>
      </c>
      <c r="D323" s="58">
        <v>50.5</v>
      </c>
      <c r="E323" s="56">
        <v>0</v>
      </c>
      <c r="F323" s="56">
        <v>0</v>
      </c>
      <c r="G323" s="56">
        <v>0</v>
      </c>
      <c r="H323" s="57">
        <v>0</v>
      </c>
    </row>
    <row r="324" spans="1:8" ht="15.75">
      <c r="A324" s="21"/>
      <c r="B324" s="132" t="s">
        <v>143</v>
      </c>
      <c r="C324" s="13">
        <f aca="true" t="shared" si="34" ref="C324:H324">SUM(C323)</f>
        <v>1</v>
      </c>
      <c r="D324" s="13">
        <f t="shared" si="34"/>
        <v>50.5</v>
      </c>
      <c r="E324" s="15">
        <f t="shared" si="34"/>
        <v>0</v>
      </c>
      <c r="F324" s="15">
        <f t="shared" si="34"/>
        <v>0</v>
      </c>
      <c r="G324" s="15">
        <f t="shared" si="34"/>
        <v>0</v>
      </c>
      <c r="H324" s="13">
        <f t="shared" si="34"/>
        <v>0</v>
      </c>
    </row>
    <row r="325" spans="1:8" ht="15.75">
      <c r="A325" s="75"/>
      <c r="B325" s="81"/>
      <c r="C325" s="90"/>
      <c r="D325" s="91"/>
      <c r="E325" s="92"/>
      <c r="F325" s="92"/>
      <c r="G325" s="92"/>
      <c r="H325" s="93"/>
    </row>
    <row r="326" spans="1:8" ht="22.5">
      <c r="A326" s="75"/>
      <c r="B326" s="89"/>
      <c r="C326" s="90"/>
      <c r="D326" s="131" t="s">
        <v>76</v>
      </c>
      <c r="E326" s="92"/>
      <c r="F326" s="92"/>
      <c r="G326" s="92"/>
      <c r="H326" s="93"/>
    </row>
    <row r="327" spans="1:8" ht="26.25" customHeight="1">
      <c r="A327" s="36" t="s">
        <v>3</v>
      </c>
      <c r="B327" s="37" t="s">
        <v>141</v>
      </c>
      <c r="C327" s="38" t="s">
        <v>5</v>
      </c>
      <c r="D327" s="39" t="s">
        <v>6</v>
      </c>
      <c r="E327" s="40" t="s">
        <v>7</v>
      </c>
      <c r="F327" s="41" t="s">
        <v>8</v>
      </c>
      <c r="G327" s="41" t="s">
        <v>9</v>
      </c>
      <c r="H327" s="42" t="s">
        <v>63</v>
      </c>
    </row>
    <row r="328" spans="1:8" ht="15.75">
      <c r="A328" s="21"/>
      <c r="B328" s="43"/>
      <c r="C328" s="44"/>
      <c r="D328" s="45" t="s">
        <v>11</v>
      </c>
      <c r="E328" s="46" t="s">
        <v>64</v>
      </c>
      <c r="F328" s="46" t="s">
        <v>65</v>
      </c>
      <c r="G328" s="46" t="s">
        <v>66</v>
      </c>
      <c r="H328" s="47" t="s">
        <v>15</v>
      </c>
    </row>
    <row r="329" spans="1:8" ht="15.75">
      <c r="A329" s="21">
        <v>1</v>
      </c>
      <c r="B329" s="14" t="s">
        <v>148</v>
      </c>
      <c r="C329" s="54">
        <v>1</v>
      </c>
      <c r="D329" s="58">
        <v>5</v>
      </c>
      <c r="E329" s="56">
        <v>0.836</v>
      </c>
      <c r="F329" s="56">
        <v>1.212</v>
      </c>
      <c r="G329" s="56">
        <v>61.06</v>
      </c>
      <c r="H329" s="57">
        <v>6</v>
      </c>
    </row>
    <row r="330" spans="1:8" ht="15.75">
      <c r="A330" s="21">
        <v>2</v>
      </c>
      <c r="B330" s="14" t="s">
        <v>145</v>
      </c>
      <c r="C330" s="54">
        <v>1</v>
      </c>
      <c r="D330" s="58">
        <v>4.68</v>
      </c>
      <c r="E330" s="56">
        <v>0</v>
      </c>
      <c r="F330" s="56">
        <v>0</v>
      </c>
      <c r="G330" s="56">
        <v>77.513</v>
      </c>
      <c r="H330" s="57">
        <v>0</v>
      </c>
    </row>
    <row r="331" spans="1:8" ht="15.75">
      <c r="A331" s="21">
        <v>3</v>
      </c>
      <c r="B331" s="14" t="s">
        <v>152</v>
      </c>
      <c r="C331" s="54">
        <v>1</v>
      </c>
      <c r="D331" s="58">
        <v>63.38</v>
      </c>
      <c r="E331" s="56">
        <v>0</v>
      </c>
      <c r="F331" s="56">
        <v>0</v>
      </c>
      <c r="G331" s="56">
        <v>31</v>
      </c>
      <c r="H331" s="57">
        <v>0</v>
      </c>
    </row>
    <row r="332" spans="1:8" ht="15.75">
      <c r="A332" s="21">
        <v>4</v>
      </c>
      <c r="B332" s="14" t="s">
        <v>149</v>
      </c>
      <c r="C332" s="54">
        <v>23</v>
      </c>
      <c r="D332" s="58">
        <v>2239.55</v>
      </c>
      <c r="E332" s="56">
        <v>222.884</v>
      </c>
      <c r="F332" s="56">
        <v>445.768</v>
      </c>
      <c r="G332" s="56">
        <v>22928.279</v>
      </c>
      <c r="H332" s="57">
        <v>475</v>
      </c>
    </row>
    <row r="333" spans="1:8" ht="15.75">
      <c r="A333" s="21">
        <v>5</v>
      </c>
      <c r="B333" s="14" t="s">
        <v>162</v>
      </c>
      <c r="C333" s="54">
        <v>4</v>
      </c>
      <c r="D333" s="58">
        <v>277.03</v>
      </c>
      <c r="E333" s="56">
        <v>2.36</v>
      </c>
      <c r="F333" s="56">
        <v>4.72</v>
      </c>
      <c r="G333" s="56">
        <v>256.042</v>
      </c>
      <c r="H333" s="57">
        <v>30</v>
      </c>
    </row>
    <row r="334" spans="1:8" ht="15.75">
      <c r="A334" s="21">
        <v>6</v>
      </c>
      <c r="B334" s="14" t="s">
        <v>169</v>
      </c>
      <c r="C334" s="54">
        <v>48</v>
      </c>
      <c r="D334" s="58">
        <v>2502.32</v>
      </c>
      <c r="E334" s="56">
        <v>31.347</v>
      </c>
      <c r="F334" s="56">
        <v>167.257</v>
      </c>
      <c r="G334" s="56">
        <v>4359.306</v>
      </c>
      <c r="H334" s="57">
        <v>800</v>
      </c>
    </row>
    <row r="335" spans="1:8" ht="15.75">
      <c r="A335" s="21">
        <v>7</v>
      </c>
      <c r="B335" s="14" t="s">
        <v>146</v>
      </c>
      <c r="C335" s="54">
        <v>10</v>
      </c>
      <c r="D335" s="58">
        <f>624.13+72</f>
        <v>696.13</v>
      </c>
      <c r="E335" s="56">
        <v>1.161</v>
      </c>
      <c r="F335" s="56">
        <v>2.9</v>
      </c>
      <c r="G335" s="56">
        <v>6812</v>
      </c>
      <c r="H335" s="57">
        <v>20</v>
      </c>
    </row>
    <row r="336" spans="1:8" ht="15.75">
      <c r="A336" s="21">
        <v>8</v>
      </c>
      <c r="B336" s="14" t="s">
        <v>179</v>
      </c>
      <c r="C336" s="54">
        <v>45</v>
      </c>
      <c r="D336" s="58">
        <v>1272.17</v>
      </c>
      <c r="E336" s="56">
        <v>37.94</v>
      </c>
      <c r="F336" s="56">
        <v>106.232</v>
      </c>
      <c r="G336" s="56">
        <v>3050</v>
      </c>
      <c r="H336" s="57">
        <v>150</v>
      </c>
    </row>
    <row r="337" spans="1:8" ht="15.75">
      <c r="A337" s="21">
        <v>9</v>
      </c>
      <c r="B337" s="14" t="s">
        <v>166</v>
      </c>
      <c r="C337" s="54">
        <v>0</v>
      </c>
      <c r="D337" s="58">
        <v>0</v>
      </c>
      <c r="E337" s="56">
        <v>0</v>
      </c>
      <c r="F337" s="56">
        <v>0</v>
      </c>
      <c r="G337" s="56">
        <v>43.704</v>
      </c>
      <c r="H337" s="57">
        <v>0</v>
      </c>
    </row>
    <row r="338" spans="1:8" ht="15.75">
      <c r="A338" s="21">
        <v>10</v>
      </c>
      <c r="B338" s="14" t="s">
        <v>167</v>
      </c>
      <c r="C338" s="54">
        <v>11</v>
      </c>
      <c r="D338" s="58">
        <v>900.62</v>
      </c>
      <c r="E338" s="56">
        <v>0</v>
      </c>
      <c r="F338" s="56">
        <v>0</v>
      </c>
      <c r="G338" s="56">
        <v>108</v>
      </c>
      <c r="H338" s="57">
        <v>0</v>
      </c>
    </row>
    <row r="339" spans="1:8" ht="15.75">
      <c r="A339" s="21">
        <v>11</v>
      </c>
      <c r="B339" s="14" t="s">
        <v>150</v>
      </c>
      <c r="C339" s="54">
        <v>23</v>
      </c>
      <c r="D339" s="58">
        <v>1862.08</v>
      </c>
      <c r="E339" s="56">
        <v>5.6</v>
      </c>
      <c r="F339" s="56">
        <v>59.5</v>
      </c>
      <c r="G339" s="56">
        <f>2862.281+20.5</f>
        <v>2882.781</v>
      </c>
      <c r="H339" s="57">
        <v>230</v>
      </c>
    </row>
    <row r="340" spans="1:8" ht="15.75">
      <c r="A340" s="21">
        <v>12</v>
      </c>
      <c r="B340" s="14" t="s">
        <v>142</v>
      </c>
      <c r="C340" s="54">
        <v>6</v>
      </c>
      <c r="D340" s="58">
        <v>433</v>
      </c>
      <c r="E340" s="56">
        <v>0.22</v>
      </c>
      <c r="F340" s="56">
        <v>0.55</v>
      </c>
      <c r="G340" s="56">
        <v>14.962</v>
      </c>
      <c r="H340" s="57">
        <v>30</v>
      </c>
    </row>
    <row r="341" spans="1:8" ht="15.75">
      <c r="A341" s="21">
        <v>13</v>
      </c>
      <c r="B341" s="14" t="s">
        <v>160</v>
      </c>
      <c r="C341" s="54">
        <v>35</v>
      </c>
      <c r="D341" s="58">
        <v>1933.29</v>
      </c>
      <c r="E341" s="56">
        <v>173.087</v>
      </c>
      <c r="F341" s="56">
        <v>2769.39</v>
      </c>
      <c r="G341" s="56">
        <v>16537.959</v>
      </c>
      <c r="H341" s="57">
        <v>670</v>
      </c>
    </row>
    <row r="342" spans="1:8" ht="15.75">
      <c r="A342" s="21">
        <v>14</v>
      </c>
      <c r="B342" s="14" t="s">
        <v>151</v>
      </c>
      <c r="C342" s="54">
        <v>45</v>
      </c>
      <c r="D342" s="58">
        <v>2379.06</v>
      </c>
      <c r="E342" s="56">
        <v>35.96</v>
      </c>
      <c r="F342" s="56">
        <f>179.795</f>
        <v>179.795</v>
      </c>
      <c r="G342" s="56">
        <v>7567</v>
      </c>
      <c r="H342" s="57">
        <v>959</v>
      </c>
    </row>
    <row r="343" spans="1:8" ht="15.75">
      <c r="A343" s="21"/>
      <c r="B343" s="132" t="s">
        <v>143</v>
      </c>
      <c r="C343" s="13">
        <f aca="true" t="shared" si="35" ref="C343:H343">SUM(C329:C342)</f>
        <v>253</v>
      </c>
      <c r="D343" s="13">
        <f t="shared" si="35"/>
        <v>14568.31</v>
      </c>
      <c r="E343" s="13">
        <f t="shared" si="35"/>
        <v>511.39500000000004</v>
      </c>
      <c r="F343" s="13">
        <f t="shared" si="35"/>
        <v>3737.3239999999996</v>
      </c>
      <c r="G343" s="13">
        <f t="shared" si="35"/>
        <v>64729.606</v>
      </c>
      <c r="H343" s="13">
        <f t="shared" si="35"/>
        <v>3370</v>
      </c>
    </row>
    <row r="344" spans="1:8" ht="15.75">
      <c r="A344" s="75"/>
      <c r="B344" s="81"/>
      <c r="C344" s="90"/>
      <c r="D344" s="91"/>
      <c r="E344" s="92"/>
      <c r="F344" s="92"/>
      <c r="G344" s="92"/>
      <c r="H344" s="93"/>
    </row>
    <row r="345" spans="1:8" ht="18" customHeight="1">
      <c r="A345" s="75"/>
      <c r="B345" s="89"/>
      <c r="C345" s="90"/>
      <c r="D345" s="131" t="s">
        <v>77</v>
      </c>
      <c r="E345" s="92"/>
      <c r="F345" s="92"/>
      <c r="G345" s="92"/>
      <c r="H345" s="93"/>
    </row>
    <row r="346" spans="1:8" ht="21" customHeight="1">
      <c r="A346" s="36" t="s">
        <v>3</v>
      </c>
      <c r="B346" s="37" t="s">
        <v>141</v>
      </c>
      <c r="C346" s="38" t="s">
        <v>5</v>
      </c>
      <c r="D346" s="39" t="s">
        <v>6</v>
      </c>
      <c r="E346" s="40" t="s">
        <v>7</v>
      </c>
      <c r="F346" s="41" t="s">
        <v>8</v>
      </c>
      <c r="G346" s="41" t="s">
        <v>9</v>
      </c>
      <c r="H346" s="42" t="s">
        <v>63</v>
      </c>
    </row>
    <row r="347" spans="1:8" ht="15.75">
      <c r="A347" s="21"/>
      <c r="B347" s="43"/>
      <c r="C347" s="44"/>
      <c r="D347" s="45" t="s">
        <v>11</v>
      </c>
      <c r="E347" s="46" t="s">
        <v>64</v>
      </c>
      <c r="F347" s="46" t="s">
        <v>65</v>
      </c>
      <c r="G347" s="46" t="s">
        <v>66</v>
      </c>
      <c r="H347" s="47" t="s">
        <v>15</v>
      </c>
    </row>
    <row r="348" spans="1:8" ht="15.75">
      <c r="A348" s="21">
        <v>1</v>
      </c>
      <c r="B348" s="14" t="s">
        <v>148</v>
      </c>
      <c r="C348" s="54">
        <v>2</v>
      </c>
      <c r="D348" s="58">
        <v>9.93</v>
      </c>
      <c r="E348" s="56">
        <v>0.015</v>
      </c>
      <c r="F348" s="56">
        <v>0.09</v>
      </c>
      <c r="G348" s="56">
        <v>2</v>
      </c>
      <c r="H348" s="57">
        <v>0</v>
      </c>
    </row>
    <row r="349" spans="1:8" ht="15.75">
      <c r="A349" s="21"/>
      <c r="B349" s="132" t="s">
        <v>143</v>
      </c>
      <c r="C349" s="13">
        <f aca="true" t="shared" si="36" ref="C349:H349">SUM(C348)</f>
        <v>2</v>
      </c>
      <c r="D349" s="13">
        <f t="shared" si="36"/>
        <v>9.93</v>
      </c>
      <c r="E349" s="13">
        <f t="shared" si="36"/>
        <v>0.015</v>
      </c>
      <c r="F349" s="13">
        <f t="shared" si="36"/>
        <v>0.09</v>
      </c>
      <c r="G349" s="15">
        <f t="shared" si="36"/>
        <v>2</v>
      </c>
      <c r="H349" s="13">
        <f t="shared" si="36"/>
        <v>0</v>
      </c>
    </row>
    <row r="350" spans="1:8" ht="15.75">
      <c r="A350" s="75"/>
      <c r="B350" s="81"/>
      <c r="C350" s="90"/>
      <c r="D350" s="91"/>
      <c r="E350" s="92"/>
      <c r="F350" s="92"/>
      <c r="G350" s="92"/>
      <c r="H350" s="93"/>
    </row>
    <row r="351" spans="1:8" ht="18" customHeight="1">
      <c r="A351" s="75"/>
      <c r="B351" s="89"/>
      <c r="C351" s="90"/>
      <c r="D351" s="131" t="s">
        <v>78</v>
      </c>
      <c r="E351" s="92"/>
      <c r="F351" s="92"/>
      <c r="G351" s="92"/>
      <c r="H351" s="93"/>
    </row>
    <row r="352" spans="1:8" ht="24.75" customHeight="1">
      <c r="A352" s="36" t="s">
        <v>3</v>
      </c>
      <c r="B352" s="37" t="s">
        <v>141</v>
      </c>
      <c r="C352" s="38" t="s">
        <v>5</v>
      </c>
      <c r="D352" s="39" t="s">
        <v>6</v>
      </c>
      <c r="E352" s="40" t="s">
        <v>7</v>
      </c>
      <c r="F352" s="41" t="s">
        <v>8</v>
      </c>
      <c r="G352" s="41" t="s">
        <v>9</v>
      </c>
      <c r="H352" s="42" t="s">
        <v>63</v>
      </c>
    </row>
    <row r="353" spans="1:8" ht="15.75">
      <c r="A353" s="21"/>
      <c r="B353" s="43"/>
      <c r="C353" s="44"/>
      <c r="D353" s="45" t="s">
        <v>11</v>
      </c>
      <c r="E353" s="46" t="s">
        <v>64</v>
      </c>
      <c r="F353" s="46" t="s">
        <v>65</v>
      </c>
      <c r="G353" s="46" t="s">
        <v>66</v>
      </c>
      <c r="H353" s="47" t="s">
        <v>15</v>
      </c>
    </row>
    <row r="354" spans="1:8" ht="15.75">
      <c r="A354" s="21">
        <v>1</v>
      </c>
      <c r="B354" s="14" t="s">
        <v>148</v>
      </c>
      <c r="C354" s="54">
        <v>3</v>
      </c>
      <c r="D354" s="58">
        <v>50</v>
      </c>
      <c r="E354" s="56">
        <v>3.421</v>
      </c>
      <c r="F354" s="56">
        <v>8.552</v>
      </c>
      <c r="G354" s="56">
        <v>731.21</v>
      </c>
      <c r="H354" s="57">
        <v>28</v>
      </c>
    </row>
    <row r="355" spans="1:8" ht="15.75">
      <c r="A355" s="21">
        <v>2</v>
      </c>
      <c r="B355" s="14" t="s">
        <v>159</v>
      </c>
      <c r="C355" s="54">
        <v>1</v>
      </c>
      <c r="D355" s="58">
        <v>49.48</v>
      </c>
      <c r="E355" s="56">
        <v>130.39</v>
      </c>
      <c r="F355" s="56">
        <f>1173.51-3.28</f>
        <v>1170.23</v>
      </c>
      <c r="G355" s="56">
        <v>10000</v>
      </c>
      <c r="H355" s="57">
        <v>200</v>
      </c>
    </row>
    <row r="356" spans="1:8" ht="15.75">
      <c r="A356" s="21">
        <v>3</v>
      </c>
      <c r="B356" s="14" t="s">
        <v>154</v>
      </c>
      <c r="C356" s="54">
        <v>1</v>
      </c>
      <c r="D356" s="58">
        <v>4</v>
      </c>
      <c r="E356" s="56">
        <v>0.41</v>
      </c>
      <c r="F356" s="56">
        <v>3.28</v>
      </c>
      <c r="G356" s="56">
        <v>20.4</v>
      </c>
      <c r="H356" s="57">
        <v>12</v>
      </c>
    </row>
    <row r="357" spans="1:8" ht="16.5" customHeight="1">
      <c r="A357" s="21">
        <v>4</v>
      </c>
      <c r="B357" s="14" t="s">
        <v>151</v>
      </c>
      <c r="C357" s="54">
        <v>2</v>
      </c>
      <c r="D357" s="58">
        <v>203.8</v>
      </c>
      <c r="E357" s="56">
        <v>0</v>
      </c>
      <c r="F357" s="56">
        <v>0</v>
      </c>
      <c r="G357" s="56">
        <v>0</v>
      </c>
      <c r="H357" s="57">
        <v>0</v>
      </c>
    </row>
    <row r="358" spans="1:8" ht="15.75">
      <c r="A358" s="21"/>
      <c r="B358" s="132" t="s">
        <v>143</v>
      </c>
      <c r="C358" s="13">
        <f aca="true" t="shared" si="37" ref="C358:H358">SUM(C354:C357)</f>
        <v>7</v>
      </c>
      <c r="D358" s="13">
        <f t="shared" si="37"/>
        <v>307.28</v>
      </c>
      <c r="E358" s="13">
        <f t="shared" si="37"/>
        <v>134.22099999999998</v>
      </c>
      <c r="F358" s="13">
        <f t="shared" si="37"/>
        <v>1182.062</v>
      </c>
      <c r="G358" s="13">
        <f t="shared" si="37"/>
        <v>10751.609999999999</v>
      </c>
      <c r="H358" s="13">
        <f t="shared" si="37"/>
        <v>240</v>
      </c>
    </row>
    <row r="360" spans="1:8" ht="18" customHeight="1">
      <c r="A360" s="75"/>
      <c r="B360" s="89"/>
      <c r="C360" s="90"/>
      <c r="D360" s="131" t="s">
        <v>79</v>
      </c>
      <c r="E360" s="92"/>
      <c r="F360" s="92"/>
      <c r="G360" s="92"/>
      <c r="H360" s="93"/>
    </row>
    <row r="361" spans="1:8" ht="24.75" customHeight="1">
      <c r="A361" s="36" t="s">
        <v>3</v>
      </c>
      <c r="B361" s="37" t="s">
        <v>141</v>
      </c>
      <c r="C361" s="38" t="s">
        <v>5</v>
      </c>
      <c r="D361" s="39" t="s">
        <v>6</v>
      </c>
      <c r="E361" s="40" t="s">
        <v>7</v>
      </c>
      <c r="F361" s="41" t="s">
        <v>8</v>
      </c>
      <c r="G361" s="41" t="s">
        <v>9</v>
      </c>
      <c r="H361" s="42" t="s">
        <v>63</v>
      </c>
    </row>
    <row r="362" spans="1:8" ht="15.75">
      <c r="A362" s="21"/>
      <c r="B362" s="43"/>
      <c r="C362" s="44"/>
      <c r="D362" s="45" t="s">
        <v>11</v>
      </c>
      <c r="E362" s="46" t="s">
        <v>64</v>
      </c>
      <c r="F362" s="46" t="s">
        <v>65</v>
      </c>
      <c r="G362" s="46" t="s">
        <v>66</v>
      </c>
      <c r="H362" s="47" t="s">
        <v>15</v>
      </c>
    </row>
    <row r="363" spans="1:8" ht="15.75">
      <c r="A363" s="21">
        <v>1</v>
      </c>
      <c r="B363" s="14" t="s">
        <v>148</v>
      </c>
      <c r="C363" s="54">
        <v>0</v>
      </c>
      <c r="D363" s="58">
        <v>0</v>
      </c>
      <c r="E363" s="56">
        <v>0</v>
      </c>
      <c r="F363" s="56">
        <v>0</v>
      </c>
      <c r="G363" s="56">
        <v>1510.9</v>
      </c>
      <c r="H363" s="57">
        <v>0</v>
      </c>
    </row>
    <row r="364" spans="1:8" ht="15.75">
      <c r="A364" s="21">
        <v>2</v>
      </c>
      <c r="B364" s="14" t="s">
        <v>145</v>
      </c>
      <c r="C364" s="54">
        <v>0</v>
      </c>
      <c r="D364" s="58">
        <v>0</v>
      </c>
      <c r="E364" s="56">
        <v>0</v>
      </c>
      <c r="F364" s="56">
        <v>0</v>
      </c>
      <c r="G364" s="56">
        <v>46.25</v>
      </c>
      <c r="H364" s="57">
        <v>0</v>
      </c>
    </row>
    <row r="365" spans="1:8" ht="15.75">
      <c r="A365" s="21">
        <v>3</v>
      </c>
      <c r="B365" s="14" t="s">
        <v>153</v>
      </c>
      <c r="C365" s="54">
        <v>0</v>
      </c>
      <c r="D365" s="58">
        <v>0</v>
      </c>
      <c r="E365" s="56">
        <v>0</v>
      </c>
      <c r="F365" s="56">
        <v>0</v>
      </c>
      <c r="G365" s="56">
        <f>1156.08+140.9</f>
        <v>1296.98</v>
      </c>
      <c r="H365" s="57">
        <v>0</v>
      </c>
    </row>
    <row r="366" spans="1:8" ht="15.75">
      <c r="A366" s="21">
        <v>4</v>
      </c>
      <c r="B366" s="14" t="s">
        <v>171</v>
      </c>
      <c r="C366" s="54">
        <v>0</v>
      </c>
      <c r="D366" s="58">
        <v>0</v>
      </c>
      <c r="E366" s="56">
        <v>0</v>
      </c>
      <c r="F366" s="56">
        <v>0</v>
      </c>
      <c r="G366" s="56">
        <v>35</v>
      </c>
      <c r="H366" s="57">
        <v>0</v>
      </c>
    </row>
    <row r="367" spans="1:8" ht="15.75">
      <c r="A367" s="21">
        <v>5</v>
      </c>
      <c r="B367" s="14" t="s">
        <v>162</v>
      </c>
      <c r="C367" s="54">
        <v>0</v>
      </c>
      <c r="D367" s="58">
        <v>0</v>
      </c>
      <c r="E367" s="56">
        <v>0</v>
      </c>
      <c r="F367" s="56">
        <v>0</v>
      </c>
      <c r="G367" s="56">
        <v>11.55</v>
      </c>
      <c r="H367" s="57">
        <v>0</v>
      </c>
    </row>
    <row r="368" spans="1:8" ht="15.75">
      <c r="A368" s="21">
        <v>6</v>
      </c>
      <c r="B368" s="14" t="s">
        <v>165</v>
      </c>
      <c r="C368" s="54">
        <v>0</v>
      </c>
      <c r="D368" s="58">
        <v>0</v>
      </c>
      <c r="E368" s="56">
        <v>0</v>
      </c>
      <c r="F368" s="56">
        <v>0</v>
      </c>
      <c r="G368" s="56">
        <v>59.75</v>
      </c>
      <c r="H368" s="57">
        <v>0</v>
      </c>
    </row>
    <row r="369" spans="1:8" ht="15.75">
      <c r="A369" s="21">
        <v>7</v>
      </c>
      <c r="B369" s="14" t="s">
        <v>167</v>
      </c>
      <c r="C369" s="54">
        <v>0</v>
      </c>
      <c r="D369" s="58">
        <v>0</v>
      </c>
      <c r="E369" s="56">
        <v>0</v>
      </c>
      <c r="F369" s="56">
        <v>0</v>
      </c>
      <c r="G369" s="56">
        <v>350</v>
      </c>
      <c r="H369" s="57">
        <v>0</v>
      </c>
    </row>
    <row r="370" spans="1:8" ht="15.75">
      <c r="A370" s="21">
        <v>8</v>
      </c>
      <c r="B370" s="14" t="s">
        <v>177</v>
      </c>
      <c r="C370" s="54">
        <v>0</v>
      </c>
      <c r="D370" s="58">
        <v>0</v>
      </c>
      <c r="E370" s="56">
        <v>0</v>
      </c>
      <c r="F370" s="56">
        <v>0</v>
      </c>
      <c r="G370" s="56">
        <v>1</v>
      </c>
      <c r="H370" s="57">
        <v>0</v>
      </c>
    </row>
    <row r="371" spans="1:8" ht="15.75">
      <c r="A371" s="21">
        <v>9</v>
      </c>
      <c r="B371" s="14" t="s">
        <v>172</v>
      </c>
      <c r="C371" s="54">
        <v>0</v>
      </c>
      <c r="D371" s="58">
        <v>0</v>
      </c>
      <c r="E371" s="56">
        <v>0</v>
      </c>
      <c r="F371" s="56">
        <v>0</v>
      </c>
      <c r="G371" s="56">
        <v>187.6</v>
      </c>
      <c r="H371" s="57">
        <v>0</v>
      </c>
    </row>
    <row r="372" spans="1:8" ht="15.75">
      <c r="A372" s="21">
        <v>10</v>
      </c>
      <c r="B372" s="14" t="s">
        <v>150</v>
      </c>
      <c r="C372" s="54">
        <v>0</v>
      </c>
      <c r="D372" s="58">
        <v>0</v>
      </c>
      <c r="E372" s="56">
        <v>0</v>
      </c>
      <c r="F372" s="56">
        <v>0</v>
      </c>
      <c r="G372" s="56">
        <v>199.25</v>
      </c>
      <c r="H372" s="57">
        <v>0</v>
      </c>
    </row>
    <row r="373" spans="1:8" ht="15.75">
      <c r="A373" s="21">
        <v>11</v>
      </c>
      <c r="B373" s="14" t="s">
        <v>154</v>
      </c>
      <c r="C373" s="54">
        <v>0</v>
      </c>
      <c r="D373" s="58">
        <v>0</v>
      </c>
      <c r="E373" s="56">
        <v>0</v>
      </c>
      <c r="F373" s="56">
        <v>0</v>
      </c>
      <c r="G373" s="56">
        <f>0.55+0.3+7+1.775</f>
        <v>9.625</v>
      </c>
      <c r="H373" s="57">
        <v>0</v>
      </c>
    </row>
    <row r="374" spans="1:8" ht="15.75">
      <c r="A374" s="21">
        <v>12</v>
      </c>
      <c r="B374" s="14" t="s">
        <v>173</v>
      </c>
      <c r="C374" s="54">
        <v>0</v>
      </c>
      <c r="D374" s="58">
        <v>0</v>
      </c>
      <c r="E374" s="56">
        <v>0</v>
      </c>
      <c r="F374" s="56">
        <v>0</v>
      </c>
      <c r="G374" s="56">
        <v>398</v>
      </c>
      <c r="H374" s="57">
        <v>0</v>
      </c>
    </row>
    <row r="375" spans="1:8" ht="15.75">
      <c r="A375" s="99"/>
      <c r="B375" s="132" t="s">
        <v>143</v>
      </c>
      <c r="C375" s="13">
        <f aca="true" t="shared" si="38" ref="C375:H375">SUM(C363:C374)</f>
        <v>0</v>
      </c>
      <c r="D375" s="15">
        <f t="shared" si="38"/>
        <v>0</v>
      </c>
      <c r="E375" s="15">
        <f t="shared" si="38"/>
        <v>0</v>
      </c>
      <c r="F375" s="15">
        <f t="shared" si="38"/>
        <v>0</v>
      </c>
      <c r="G375" s="13">
        <f t="shared" si="38"/>
        <v>4105.905000000001</v>
      </c>
      <c r="H375" s="13">
        <f t="shared" si="38"/>
        <v>0</v>
      </c>
    </row>
    <row r="377" spans="1:8" ht="15.75">
      <c r="A377" s="139"/>
      <c r="B377" s="140" t="s">
        <v>180</v>
      </c>
      <c r="C377" s="141">
        <f aca="true" t="shared" si="39" ref="C377:H377">+C358+C349+C343+C324+C318+C311+C296+C289+C283+C263+C254+C375+C240+C232+C225+C207+C199+C193+C187+C176+C170+C138+C145+C162+C128+C122+C116+C103+C86+C75+C68+C60+C53+C44+C37+C31+C22+C13+C7</f>
        <v>1558</v>
      </c>
      <c r="D377" s="141">
        <f t="shared" si="39"/>
        <v>92948.651</v>
      </c>
      <c r="E377" s="141">
        <f t="shared" si="39"/>
        <v>106366.008</v>
      </c>
      <c r="F377" s="141">
        <f t="shared" si="39"/>
        <v>139282.31029999998</v>
      </c>
      <c r="G377" s="141">
        <f t="shared" si="39"/>
        <v>8130334.865000001</v>
      </c>
      <c r="H377" s="141">
        <f t="shared" si="39"/>
        <v>27035</v>
      </c>
    </row>
  </sheetData>
  <mergeCells count="1">
    <mergeCell ref="A2:H2"/>
  </mergeCells>
  <printOptions/>
  <pageMargins left="0.75" right="0.57" top="0.6" bottom="0.6" header="0.5" footer="0.5"/>
  <pageSetup horizontalDpi="120" verticalDpi="120" orientation="portrait" paperSize="9" scale="89" r:id="rId1"/>
  <headerFooter alignWithMargins="0">
    <oddHeader>&amp;CMINERALWISE MAJOR MINERAL STAT. YEAR 2006-07</oddHeader>
    <oddFooter>&amp;L&amp;Z&amp;F&amp;R&amp;P of &amp;N</oddFooter>
  </headerFooter>
  <rowBreaks count="4" manualBreakCount="4">
    <brk id="87" max="255" man="1"/>
    <brk id="139" max="255" man="1"/>
    <brk id="233" max="255" man="1"/>
    <brk id="3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H347"/>
  <sheetViews>
    <sheetView zoomScaleSheetLayoutView="100" workbookViewId="0" topLeftCell="A46">
      <selection activeCell="C63" sqref="C63"/>
    </sheetView>
  </sheetViews>
  <sheetFormatPr defaultColWidth="9.140625" defaultRowHeight="12.75"/>
  <cols>
    <col min="1" max="1" width="5.57421875" style="0" customWidth="1"/>
    <col min="2" max="2" width="20.140625" style="142" customWidth="1"/>
    <col min="3" max="3" width="8.8515625" style="143" customWidth="1"/>
    <col min="4" max="4" width="11.421875" style="144" customWidth="1"/>
    <col min="5" max="5" width="12.7109375" style="145" customWidth="1"/>
    <col min="6" max="6" width="14.00390625" style="145" customWidth="1"/>
    <col min="7" max="7" width="14.7109375" style="145" customWidth="1"/>
    <col min="8" max="8" width="13.57421875" style="146" customWidth="1"/>
    <col min="9" max="16384" width="9.140625" style="1" customWidth="1"/>
  </cols>
  <sheetData>
    <row r="2" spans="1:8" ht="27.75">
      <c r="A2" s="228" t="s">
        <v>59</v>
      </c>
      <c r="B2" s="228"/>
      <c r="C2" s="228"/>
      <c r="D2" s="228"/>
      <c r="E2" s="228"/>
      <c r="F2" s="228"/>
      <c r="G2" s="228"/>
      <c r="H2" s="228"/>
    </row>
    <row r="3" spans="1:8" ht="27.75">
      <c r="A3" s="29"/>
      <c r="B3" s="29"/>
      <c r="C3" s="29"/>
      <c r="D3" s="29"/>
      <c r="E3" s="29"/>
      <c r="F3" s="29"/>
      <c r="G3" s="29"/>
      <c r="H3" s="29"/>
    </row>
    <row r="4" spans="1:8" ht="22.5">
      <c r="A4" s="30"/>
      <c r="B4" s="31"/>
      <c r="C4" s="32"/>
      <c r="D4" s="131" t="s">
        <v>152</v>
      </c>
      <c r="E4" s="34"/>
      <c r="F4" s="34"/>
      <c r="G4" s="34"/>
      <c r="H4" s="35"/>
    </row>
    <row r="5" spans="1:8" ht="31.5">
      <c r="A5" s="36" t="s">
        <v>3</v>
      </c>
      <c r="B5" s="37"/>
      <c r="C5" s="38" t="s">
        <v>5</v>
      </c>
      <c r="D5" s="39" t="s">
        <v>6</v>
      </c>
      <c r="E5" s="40" t="s">
        <v>7</v>
      </c>
      <c r="F5" s="41" t="s">
        <v>8</v>
      </c>
      <c r="G5" s="41" t="s">
        <v>9</v>
      </c>
      <c r="H5" s="42" t="s">
        <v>63</v>
      </c>
    </row>
    <row r="6" spans="1:8" ht="15.75">
      <c r="A6" s="21"/>
      <c r="B6" s="43"/>
      <c r="C6" s="44"/>
      <c r="D6" s="45" t="s">
        <v>11</v>
      </c>
      <c r="E6" s="46" t="s">
        <v>64</v>
      </c>
      <c r="F6" s="46" t="s">
        <v>65</v>
      </c>
      <c r="G6" s="46" t="s">
        <v>66</v>
      </c>
      <c r="H6" s="47" t="s">
        <v>15</v>
      </c>
    </row>
    <row r="7" spans="1:8" ht="20.25">
      <c r="A7" s="87">
        <v>1</v>
      </c>
      <c r="B7" s="147" t="s">
        <v>92</v>
      </c>
      <c r="C7" s="54">
        <v>1</v>
      </c>
      <c r="D7" s="58">
        <v>18.89</v>
      </c>
      <c r="E7" s="56">
        <v>0</v>
      </c>
      <c r="F7" s="56">
        <v>0</v>
      </c>
      <c r="G7" s="56">
        <v>27</v>
      </c>
      <c r="H7" s="57">
        <v>0</v>
      </c>
    </row>
    <row r="8" spans="1:8" ht="20.25">
      <c r="A8" s="87">
        <v>2</v>
      </c>
      <c r="B8" s="147" t="s">
        <v>93</v>
      </c>
      <c r="C8" s="54">
        <v>1</v>
      </c>
      <c r="D8" s="58">
        <v>71.32</v>
      </c>
      <c r="E8" s="56">
        <v>0</v>
      </c>
      <c r="F8" s="56">
        <v>0</v>
      </c>
      <c r="G8" s="56">
        <v>17</v>
      </c>
      <c r="H8" s="57">
        <v>0</v>
      </c>
    </row>
    <row r="9" spans="1:8" ht="20.25">
      <c r="A9" s="1">
        <v>3</v>
      </c>
      <c r="B9" s="147" t="s">
        <v>94</v>
      </c>
      <c r="C9" s="54">
        <v>1</v>
      </c>
      <c r="D9" s="58">
        <v>59</v>
      </c>
      <c r="E9" s="56">
        <v>0</v>
      </c>
      <c r="F9" s="56">
        <v>0</v>
      </c>
      <c r="G9" s="56">
        <v>129</v>
      </c>
      <c r="H9" s="57">
        <v>0</v>
      </c>
    </row>
    <row r="10" spans="1:8" ht="20.25">
      <c r="A10" s="30">
        <v>4</v>
      </c>
      <c r="B10" s="147" t="s">
        <v>76</v>
      </c>
      <c r="C10" s="54">
        <v>1</v>
      </c>
      <c r="D10" s="58">
        <v>63.38</v>
      </c>
      <c r="E10" s="56">
        <v>0</v>
      </c>
      <c r="F10" s="56">
        <v>0</v>
      </c>
      <c r="G10" s="56">
        <v>31</v>
      </c>
      <c r="H10" s="57">
        <v>0</v>
      </c>
    </row>
    <row r="11" spans="1:8" ht="18.75">
      <c r="A11" s="87"/>
      <c r="B11" s="148" t="s">
        <v>143</v>
      </c>
      <c r="C11" s="13">
        <f aca="true" t="shared" si="0" ref="C11:H11">SUM(C7:C10)</f>
        <v>4</v>
      </c>
      <c r="D11" s="13">
        <f t="shared" si="0"/>
        <v>212.58999999999997</v>
      </c>
      <c r="E11" s="15">
        <f t="shared" si="0"/>
        <v>0</v>
      </c>
      <c r="F11" s="15">
        <f t="shared" si="0"/>
        <v>0</v>
      </c>
      <c r="G11" s="15">
        <f t="shared" si="0"/>
        <v>204</v>
      </c>
      <c r="H11" s="13">
        <f t="shared" si="0"/>
        <v>0</v>
      </c>
    </row>
    <row r="12" spans="1:8" ht="20.25">
      <c r="A12" s="75"/>
      <c r="B12" s="149"/>
      <c r="C12" s="90"/>
      <c r="D12" s="91"/>
      <c r="E12" s="92"/>
      <c r="F12" s="92"/>
      <c r="G12" s="92"/>
      <c r="H12" s="93"/>
    </row>
    <row r="13" spans="1:8" ht="23.25">
      <c r="A13" s="75"/>
      <c r="B13" s="149"/>
      <c r="C13" s="90"/>
      <c r="D13" s="150" t="s">
        <v>161</v>
      </c>
      <c r="E13" s="92"/>
      <c r="F13" s="92"/>
      <c r="G13" s="92"/>
      <c r="H13" s="93"/>
    </row>
    <row r="14" spans="1:8" ht="31.5">
      <c r="A14" s="36" t="s">
        <v>3</v>
      </c>
      <c r="B14" s="37"/>
      <c r="C14" s="38" t="s">
        <v>5</v>
      </c>
      <c r="D14" s="39" t="s">
        <v>6</v>
      </c>
      <c r="E14" s="40" t="s">
        <v>7</v>
      </c>
      <c r="F14" s="41" t="s">
        <v>8</v>
      </c>
      <c r="G14" s="41" t="s">
        <v>9</v>
      </c>
      <c r="H14" s="42" t="s">
        <v>63</v>
      </c>
    </row>
    <row r="15" spans="1:8" ht="15.75">
      <c r="A15" s="21"/>
      <c r="B15" s="43"/>
      <c r="C15" s="44"/>
      <c r="D15" s="45" t="s">
        <v>11</v>
      </c>
      <c r="E15" s="46" t="s">
        <v>64</v>
      </c>
      <c r="F15" s="46" t="s">
        <v>65</v>
      </c>
      <c r="G15" s="46" t="s">
        <v>66</v>
      </c>
      <c r="H15" s="47" t="s">
        <v>15</v>
      </c>
    </row>
    <row r="16" spans="1:8" ht="20.25">
      <c r="A16" s="151">
        <v>1</v>
      </c>
      <c r="B16" s="152" t="s">
        <v>82</v>
      </c>
      <c r="C16" s="50">
        <v>3</v>
      </c>
      <c r="D16" s="51">
        <v>15</v>
      </c>
      <c r="E16" s="52">
        <v>0</v>
      </c>
      <c r="F16" s="52">
        <v>0</v>
      </c>
      <c r="G16" s="52">
        <v>0</v>
      </c>
      <c r="H16" s="53">
        <v>0</v>
      </c>
    </row>
    <row r="17" spans="1:8" ht="20.25">
      <c r="A17" s="21">
        <v>2</v>
      </c>
      <c r="B17" s="147" t="s">
        <v>98</v>
      </c>
      <c r="C17" s="54">
        <v>1</v>
      </c>
      <c r="D17" s="58">
        <v>2655.7</v>
      </c>
      <c r="E17" s="56">
        <v>299.439</v>
      </c>
      <c r="F17" s="56">
        <v>2844.676</v>
      </c>
      <c r="G17" s="56">
        <v>14971.984</v>
      </c>
      <c r="H17" s="57">
        <v>1010</v>
      </c>
    </row>
    <row r="18" spans="1:8" ht="20.25">
      <c r="A18" s="21">
        <v>3</v>
      </c>
      <c r="B18" s="153" t="s">
        <v>96</v>
      </c>
      <c r="C18" s="54">
        <v>3</v>
      </c>
      <c r="D18" s="58">
        <v>402.62</v>
      </c>
      <c r="E18" s="56">
        <v>0</v>
      </c>
      <c r="F18" s="56">
        <v>0</v>
      </c>
      <c r="G18" s="56">
        <v>226.835</v>
      </c>
      <c r="H18" s="57">
        <v>0</v>
      </c>
    </row>
    <row r="19" spans="1:8" ht="20.25">
      <c r="A19" s="21">
        <v>4</v>
      </c>
      <c r="B19" s="147" t="s">
        <v>97</v>
      </c>
      <c r="C19" s="54">
        <v>5</v>
      </c>
      <c r="D19" s="58">
        <v>94.99</v>
      </c>
      <c r="E19" s="56">
        <v>1.42</v>
      </c>
      <c r="F19" s="56">
        <v>3.999</v>
      </c>
      <c r="G19" s="56">
        <v>40</v>
      </c>
      <c r="H19" s="57">
        <v>20</v>
      </c>
    </row>
    <row r="20" spans="1:8" ht="18.75">
      <c r="A20" s="87"/>
      <c r="B20" s="148" t="s">
        <v>143</v>
      </c>
      <c r="C20" s="13">
        <f aca="true" t="shared" si="1" ref="C20:H20">SUM(C16:C19)</f>
        <v>12</v>
      </c>
      <c r="D20" s="13">
        <f t="shared" si="1"/>
        <v>3168.3099999999995</v>
      </c>
      <c r="E20" s="13">
        <f t="shared" si="1"/>
        <v>300.85900000000004</v>
      </c>
      <c r="F20" s="13">
        <f t="shared" si="1"/>
        <v>2848.6749999999997</v>
      </c>
      <c r="G20" s="13">
        <f t="shared" si="1"/>
        <v>15238.819</v>
      </c>
      <c r="H20" s="13">
        <f t="shared" si="1"/>
        <v>1030</v>
      </c>
    </row>
    <row r="21" spans="1:8" ht="20.25">
      <c r="A21" s="75"/>
      <c r="B21" s="149"/>
      <c r="C21" s="90"/>
      <c r="D21" s="91"/>
      <c r="E21" s="92"/>
      <c r="F21" s="92"/>
      <c r="G21" s="92"/>
      <c r="H21" s="93"/>
    </row>
    <row r="22" spans="1:8" ht="23.25">
      <c r="A22" s="75"/>
      <c r="B22" s="149"/>
      <c r="C22" s="90"/>
      <c r="D22" s="150" t="s">
        <v>169</v>
      </c>
      <c r="E22" s="92"/>
      <c r="F22" s="92"/>
      <c r="G22" s="92"/>
      <c r="H22" s="93"/>
    </row>
    <row r="23" spans="1:8" ht="31.5">
      <c r="A23" s="36" t="s">
        <v>3</v>
      </c>
      <c r="B23" s="37"/>
      <c r="C23" s="38" t="s">
        <v>5</v>
      </c>
      <c r="D23" s="39" t="s">
        <v>6</v>
      </c>
      <c r="E23" s="40" t="s">
        <v>7</v>
      </c>
      <c r="F23" s="41" t="s">
        <v>8</v>
      </c>
      <c r="G23" s="41" t="s">
        <v>9</v>
      </c>
      <c r="H23" s="42" t="s">
        <v>63</v>
      </c>
    </row>
    <row r="24" spans="1:8" ht="15.75">
      <c r="A24" s="21"/>
      <c r="B24" s="43"/>
      <c r="C24" s="44"/>
      <c r="D24" s="45" t="s">
        <v>11</v>
      </c>
      <c r="E24" s="46" t="s">
        <v>64</v>
      </c>
      <c r="F24" s="46" t="s">
        <v>65</v>
      </c>
      <c r="G24" s="46" t="s">
        <v>66</v>
      </c>
      <c r="H24" s="47" t="s">
        <v>15</v>
      </c>
    </row>
    <row r="25" spans="1:8" ht="20.25">
      <c r="A25" s="21">
        <v>1</v>
      </c>
      <c r="B25" s="147" t="s">
        <v>112</v>
      </c>
      <c r="C25" s="54">
        <v>8</v>
      </c>
      <c r="D25" s="58">
        <v>239.54</v>
      </c>
      <c r="E25" s="56">
        <v>0</v>
      </c>
      <c r="F25" s="56">
        <v>0</v>
      </c>
      <c r="G25" s="56">
        <v>223.217</v>
      </c>
      <c r="H25" s="57">
        <v>0</v>
      </c>
    </row>
    <row r="26" spans="1:8" ht="20.25">
      <c r="A26" s="21">
        <v>2</v>
      </c>
      <c r="B26" s="147" t="s">
        <v>76</v>
      </c>
      <c r="C26" s="54">
        <v>48</v>
      </c>
      <c r="D26" s="58">
        <v>2502.32</v>
      </c>
      <c r="E26" s="56">
        <v>31.347</v>
      </c>
      <c r="F26" s="56">
        <v>167.257</v>
      </c>
      <c r="G26" s="56">
        <v>4359.306</v>
      </c>
      <c r="H26" s="57">
        <v>800</v>
      </c>
    </row>
    <row r="27" spans="1:8" ht="18.75">
      <c r="A27" s="87"/>
      <c r="B27" s="148" t="s">
        <v>143</v>
      </c>
      <c r="C27" s="13">
        <f aca="true" t="shared" si="2" ref="C27:H27">SUM(C25:C26)</f>
        <v>56</v>
      </c>
      <c r="D27" s="13">
        <f t="shared" si="2"/>
        <v>2741.86</v>
      </c>
      <c r="E27" s="13">
        <f t="shared" si="2"/>
        <v>31.347</v>
      </c>
      <c r="F27" s="13">
        <f t="shared" si="2"/>
        <v>167.257</v>
      </c>
      <c r="G27" s="13">
        <f t="shared" si="2"/>
        <v>4582.522999999999</v>
      </c>
      <c r="H27" s="13">
        <f t="shared" si="2"/>
        <v>800</v>
      </c>
    </row>
    <row r="28" spans="1:8" ht="20.25">
      <c r="A28" s="75"/>
      <c r="B28" s="149"/>
      <c r="C28" s="90"/>
      <c r="D28" s="91"/>
      <c r="E28" s="92"/>
      <c r="F28" s="92"/>
      <c r="G28" s="92"/>
      <c r="H28" s="93"/>
    </row>
    <row r="29" spans="1:8" ht="23.25">
      <c r="A29" s="75"/>
      <c r="B29" s="149"/>
      <c r="C29" s="90"/>
      <c r="D29" s="150" t="s">
        <v>165</v>
      </c>
      <c r="E29" s="92"/>
      <c r="F29" s="92"/>
      <c r="G29" s="92"/>
      <c r="H29" s="93"/>
    </row>
    <row r="30" spans="1:8" ht="31.5">
      <c r="A30" s="36" t="s">
        <v>3</v>
      </c>
      <c r="B30" s="37"/>
      <c r="C30" s="38" t="s">
        <v>5</v>
      </c>
      <c r="D30" s="39" t="s">
        <v>6</v>
      </c>
      <c r="E30" s="40" t="s">
        <v>7</v>
      </c>
      <c r="F30" s="41" t="s">
        <v>8</v>
      </c>
      <c r="G30" s="41" t="s">
        <v>9</v>
      </c>
      <c r="H30" s="42" t="s">
        <v>63</v>
      </c>
    </row>
    <row r="31" spans="1:8" ht="15.75">
      <c r="A31" s="21"/>
      <c r="B31" s="43"/>
      <c r="C31" s="44"/>
      <c r="D31" s="45" t="s">
        <v>11</v>
      </c>
      <c r="E31" s="46" t="s">
        <v>64</v>
      </c>
      <c r="F31" s="46" t="s">
        <v>65</v>
      </c>
      <c r="G31" s="46" t="s">
        <v>66</v>
      </c>
      <c r="H31" s="47" t="s">
        <v>15</v>
      </c>
    </row>
    <row r="32" spans="1:8" ht="20.25">
      <c r="A32" s="21">
        <v>1</v>
      </c>
      <c r="B32" s="147" t="s">
        <v>82</v>
      </c>
      <c r="C32" s="54">
        <v>31</v>
      </c>
      <c r="D32" s="58">
        <v>148.01</v>
      </c>
      <c r="E32" s="56">
        <v>147.217</v>
      </c>
      <c r="F32" s="56">
        <v>515.261</v>
      </c>
      <c r="G32" s="56">
        <v>3391</v>
      </c>
      <c r="H32" s="57">
        <v>200</v>
      </c>
    </row>
    <row r="33" spans="1:8" ht="20.25">
      <c r="A33" s="21">
        <v>2</v>
      </c>
      <c r="B33" s="147" t="s">
        <v>72</v>
      </c>
      <c r="C33" s="54">
        <v>4</v>
      </c>
      <c r="D33" s="58">
        <v>1232.87</v>
      </c>
      <c r="E33" s="56">
        <v>247.125</v>
      </c>
      <c r="F33" s="56">
        <v>432.46</v>
      </c>
      <c r="G33" s="56">
        <v>13961.491</v>
      </c>
      <c r="H33" s="57">
        <v>25</v>
      </c>
    </row>
    <row r="34" spans="1:8" ht="20.25">
      <c r="A34" s="21">
        <v>3</v>
      </c>
      <c r="B34" s="153" t="s">
        <v>79</v>
      </c>
      <c r="C34" s="54">
        <v>0</v>
      </c>
      <c r="D34" s="58">
        <v>0</v>
      </c>
      <c r="E34" s="56">
        <v>0</v>
      </c>
      <c r="F34" s="56">
        <v>0</v>
      </c>
      <c r="G34" s="56">
        <v>59.75</v>
      </c>
      <c r="H34" s="57">
        <v>0</v>
      </c>
    </row>
    <row r="35" spans="1:8" ht="18.75">
      <c r="A35" s="87"/>
      <c r="B35" s="148" t="s">
        <v>143</v>
      </c>
      <c r="C35" s="13">
        <f aca="true" t="shared" si="3" ref="C35:H35">SUM(C32:C34)</f>
        <v>35</v>
      </c>
      <c r="D35" s="13">
        <f t="shared" si="3"/>
        <v>1380.8799999999999</v>
      </c>
      <c r="E35" s="13">
        <f t="shared" si="3"/>
        <v>394.342</v>
      </c>
      <c r="F35" s="13">
        <f t="shared" si="3"/>
        <v>947.721</v>
      </c>
      <c r="G35" s="13">
        <f t="shared" si="3"/>
        <v>17412.241</v>
      </c>
      <c r="H35" s="13">
        <f t="shared" si="3"/>
        <v>225</v>
      </c>
    </row>
    <row r="36" spans="1:8" ht="20.25">
      <c r="A36" s="75"/>
      <c r="B36" s="149"/>
      <c r="C36" s="90"/>
      <c r="D36" s="91"/>
      <c r="E36" s="92"/>
      <c r="F36" s="92"/>
      <c r="G36" s="92"/>
      <c r="H36" s="93"/>
    </row>
    <row r="37" spans="1:8" ht="23.25">
      <c r="A37" s="75"/>
      <c r="B37" s="149"/>
      <c r="C37" s="90"/>
      <c r="D37" s="150" t="s">
        <v>156</v>
      </c>
      <c r="E37" s="92"/>
      <c r="F37" s="92"/>
      <c r="G37" s="92"/>
      <c r="H37" s="93"/>
    </row>
    <row r="38" spans="1:8" ht="31.5">
      <c r="A38" s="36" t="s">
        <v>3</v>
      </c>
      <c r="B38" s="37"/>
      <c r="C38" s="38" t="s">
        <v>5</v>
      </c>
      <c r="D38" s="39" t="s">
        <v>6</v>
      </c>
      <c r="E38" s="40" t="s">
        <v>7</v>
      </c>
      <c r="F38" s="41" t="s">
        <v>8</v>
      </c>
      <c r="G38" s="41" t="s">
        <v>9</v>
      </c>
      <c r="H38" s="42" t="s">
        <v>63</v>
      </c>
    </row>
    <row r="39" spans="1:8" ht="15.75">
      <c r="A39" s="21"/>
      <c r="B39" s="43"/>
      <c r="C39" s="44"/>
      <c r="D39" s="45" t="s">
        <v>11</v>
      </c>
      <c r="E39" s="46" t="s">
        <v>64</v>
      </c>
      <c r="F39" s="46" t="s">
        <v>65</v>
      </c>
      <c r="G39" s="46" t="s">
        <v>66</v>
      </c>
      <c r="H39" s="47" t="s">
        <v>15</v>
      </c>
    </row>
    <row r="40" spans="1:8" ht="20.25">
      <c r="A40" s="21">
        <v>1</v>
      </c>
      <c r="B40" s="147" t="s">
        <v>100</v>
      </c>
      <c r="C40" s="54">
        <v>1</v>
      </c>
      <c r="D40" s="58">
        <v>150</v>
      </c>
      <c r="E40" s="56">
        <v>0</v>
      </c>
      <c r="F40" s="56">
        <v>0</v>
      </c>
      <c r="G40" s="56">
        <v>0</v>
      </c>
      <c r="H40" s="57">
        <v>0</v>
      </c>
    </row>
    <row r="41" spans="1:8" ht="20.25">
      <c r="A41" s="21">
        <v>2</v>
      </c>
      <c r="B41" s="147" t="s">
        <v>93</v>
      </c>
      <c r="C41" s="54">
        <v>1</v>
      </c>
      <c r="D41" s="58">
        <v>32.37</v>
      </c>
      <c r="E41" s="56">
        <v>0</v>
      </c>
      <c r="F41" s="56">
        <v>0</v>
      </c>
      <c r="G41" s="56">
        <v>0</v>
      </c>
      <c r="H41" s="57">
        <v>0</v>
      </c>
    </row>
    <row r="42" spans="1:8" ht="20.25">
      <c r="A42" s="21">
        <v>3</v>
      </c>
      <c r="B42" s="147" t="s">
        <v>101</v>
      </c>
      <c r="C42" s="54">
        <v>3</v>
      </c>
      <c r="D42" s="58">
        <v>957.9</v>
      </c>
      <c r="E42" s="56">
        <v>878.118</v>
      </c>
      <c r="F42" s="56">
        <v>1141.553</v>
      </c>
      <c r="G42" s="56">
        <v>59038</v>
      </c>
      <c r="H42" s="57">
        <v>25</v>
      </c>
    </row>
    <row r="43" spans="1:8" ht="20.25">
      <c r="A43" s="21">
        <v>4</v>
      </c>
      <c r="B43" s="147" t="s">
        <v>72</v>
      </c>
      <c r="C43" s="54">
        <v>2</v>
      </c>
      <c r="D43" s="58">
        <v>1998</v>
      </c>
      <c r="E43" s="56">
        <v>1814.817</v>
      </c>
      <c r="F43" s="56">
        <v>7259.268</v>
      </c>
      <c r="G43" s="56">
        <v>156942</v>
      </c>
      <c r="H43" s="57">
        <v>245</v>
      </c>
    </row>
    <row r="44" spans="1:8" ht="20.25">
      <c r="A44" s="137">
        <v>5</v>
      </c>
      <c r="B44" s="147" t="s">
        <v>89</v>
      </c>
      <c r="C44" s="54">
        <v>1</v>
      </c>
      <c r="D44" s="58">
        <v>32.37</v>
      </c>
      <c r="E44" s="56">
        <v>0</v>
      </c>
      <c r="F44" s="56">
        <v>0</v>
      </c>
      <c r="G44" s="56">
        <v>0</v>
      </c>
      <c r="H44" s="57">
        <v>0</v>
      </c>
    </row>
    <row r="45" spans="1:8" ht="20.25">
      <c r="A45" s="137">
        <v>6</v>
      </c>
      <c r="B45" s="147" t="s">
        <v>97</v>
      </c>
      <c r="C45" s="54">
        <v>8</v>
      </c>
      <c r="D45" s="58">
        <v>385</v>
      </c>
      <c r="E45" s="56">
        <v>0.4</v>
      </c>
      <c r="F45" s="56">
        <v>0.98</v>
      </c>
      <c r="G45" s="56">
        <v>157</v>
      </c>
      <c r="H45" s="57">
        <v>8</v>
      </c>
    </row>
    <row r="46" spans="1:8" ht="18.75">
      <c r="A46" s="87"/>
      <c r="B46" s="148" t="s">
        <v>143</v>
      </c>
      <c r="C46" s="13">
        <f aca="true" t="shared" si="4" ref="C46:H46">SUM(C40:C45)</f>
        <v>16</v>
      </c>
      <c r="D46" s="13">
        <f t="shared" si="4"/>
        <v>3555.64</v>
      </c>
      <c r="E46" s="13">
        <f t="shared" si="4"/>
        <v>2693.335</v>
      </c>
      <c r="F46" s="13">
        <f t="shared" si="4"/>
        <v>8401.801</v>
      </c>
      <c r="G46" s="13">
        <f t="shared" si="4"/>
        <v>216137</v>
      </c>
      <c r="H46" s="13">
        <f t="shared" si="4"/>
        <v>278</v>
      </c>
    </row>
    <row r="47" spans="1:8" ht="20.25">
      <c r="A47" s="75"/>
      <c r="B47" s="149"/>
      <c r="C47" s="90"/>
      <c r="D47" s="91"/>
      <c r="E47" s="92"/>
      <c r="F47" s="92"/>
      <c r="G47" s="92"/>
      <c r="H47" s="93"/>
    </row>
    <row r="48" spans="1:8" ht="23.25">
      <c r="A48" s="75"/>
      <c r="B48" s="149"/>
      <c r="C48" s="90"/>
      <c r="D48" s="150" t="s">
        <v>179</v>
      </c>
      <c r="E48" s="92"/>
      <c r="F48" s="92"/>
      <c r="G48" s="92"/>
      <c r="H48" s="93"/>
    </row>
    <row r="49" spans="1:8" ht="31.5">
      <c r="A49" s="36" t="s">
        <v>3</v>
      </c>
      <c r="B49" s="37"/>
      <c r="C49" s="38" t="s">
        <v>5</v>
      </c>
      <c r="D49" s="39" t="s">
        <v>6</v>
      </c>
      <c r="E49" s="40" t="s">
        <v>7</v>
      </c>
      <c r="F49" s="41" t="s">
        <v>8</v>
      </c>
      <c r="G49" s="41" t="s">
        <v>9</v>
      </c>
      <c r="H49" s="42" t="s">
        <v>63</v>
      </c>
    </row>
    <row r="50" spans="1:8" ht="15.75">
      <c r="A50" s="21"/>
      <c r="B50" s="43"/>
      <c r="C50" s="44"/>
      <c r="D50" s="45" t="s">
        <v>11</v>
      </c>
      <c r="E50" s="46" t="s">
        <v>64</v>
      </c>
      <c r="F50" s="46" t="s">
        <v>65</v>
      </c>
      <c r="G50" s="46" t="s">
        <v>66</v>
      </c>
      <c r="H50" s="47" t="s">
        <v>15</v>
      </c>
    </row>
    <row r="51" spans="1:8" ht="20.25">
      <c r="A51" s="21">
        <v>1</v>
      </c>
      <c r="B51" s="147" t="s">
        <v>76</v>
      </c>
      <c r="C51" s="54">
        <v>45</v>
      </c>
      <c r="D51" s="58">
        <v>1272.17</v>
      </c>
      <c r="E51" s="56">
        <v>37.94</v>
      </c>
      <c r="F51" s="56">
        <v>106.232</v>
      </c>
      <c r="G51" s="56">
        <v>3050</v>
      </c>
      <c r="H51" s="57">
        <v>150</v>
      </c>
    </row>
    <row r="52" spans="1:8" ht="18.75">
      <c r="A52" s="87"/>
      <c r="B52" s="148" t="s">
        <v>143</v>
      </c>
      <c r="C52" s="13">
        <f aca="true" t="shared" si="5" ref="C52:H52">SUM(C51:C51)</f>
        <v>45</v>
      </c>
      <c r="D52" s="13">
        <f t="shared" si="5"/>
        <v>1272.17</v>
      </c>
      <c r="E52" s="13">
        <f t="shared" si="5"/>
        <v>37.94</v>
      </c>
      <c r="F52" s="13">
        <f t="shared" si="5"/>
        <v>106.232</v>
      </c>
      <c r="G52" s="15">
        <f t="shared" si="5"/>
        <v>3050</v>
      </c>
      <c r="H52" s="13">
        <f t="shared" si="5"/>
        <v>150</v>
      </c>
    </row>
    <row r="53" spans="1:8" ht="20.25">
      <c r="A53" s="75"/>
      <c r="B53" s="149"/>
      <c r="C53" s="90"/>
      <c r="D53" s="91"/>
      <c r="E53" s="92"/>
      <c r="F53" s="92"/>
      <c r="G53" s="92"/>
      <c r="H53" s="93"/>
    </row>
    <row r="54" spans="1:8" ht="23.25">
      <c r="A54" s="75"/>
      <c r="B54" s="149"/>
      <c r="C54" s="90"/>
      <c r="D54" s="150" t="s">
        <v>147</v>
      </c>
      <c r="E54" s="92"/>
      <c r="F54" s="92"/>
      <c r="G54" s="92"/>
      <c r="H54" s="93"/>
    </row>
    <row r="55" spans="1:8" ht="31.5">
      <c r="A55" s="36" t="s">
        <v>3</v>
      </c>
      <c r="B55" s="37"/>
      <c r="C55" s="38" t="s">
        <v>5</v>
      </c>
      <c r="D55" s="39" t="s">
        <v>6</v>
      </c>
      <c r="E55" s="40" t="s">
        <v>7</v>
      </c>
      <c r="F55" s="41" t="s">
        <v>8</v>
      </c>
      <c r="G55" s="41" t="s">
        <v>9</v>
      </c>
      <c r="H55" s="42" t="s">
        <v>63</v>
      </c>
    </row>
    <row r="56" spans="1:8" ht="15.75">
      <c r="A56" s="21"/>
      <c r="B56" s="43"/>
      <c r="C56" s="44"/>
      <c r="D56" s="45" t="s">
        <v>11</v>
      </c>
      <c r="E56" s="46" t="s">
        <v>64</v>
      </c>
      <c r="F56" s="46" t="s">
        <v>65</v>
      </c>
      <c r="G56" s="46" t="s">
        <v>66</v>
      </c>
      <c r="H56" s="47" t="s">
        <v>15</v>
      </c>
    </row>
    <row r="57" spans="1:8" ht="20.25">
      <c r="A57" s="21">
        <v>1</v>
      </c>
      <c r="B57" s="147" t="s">
        <v>84</v>
      </c>
      <c r="C57" s="54">
        <v>2</v>
      </c>
      <c r="D57" s="58">
        <v>56.8</v>
      </c>
      <c r="E57" s="56">
        <v>17.445</v>
      </c>
      <c r="F57" s="56">
        <v>78.502</v>
      </c>
      <c r="G57" s="56">
        <v>248</v>
      </c>
      <c r="H57" s="57">
        <v>197</v>
      </c>
    </row>
    <row r="58" spans="1:8" ht="20.25">
      <c r="A58" s="21">
        <v>2</v>
      </c>
      <c r="B58" s="147" t="s">
        <v>83</v>
      </c>
      <c r="C58" s="54">
        <v>1</v>
      </c>
      <c r="D58" s="58">
        <v>296.41</v>
      </c>
      <c r="E58" s="56">
        <v>0</v>
      </c>
      <c r="F58" s="56">
        <v>0</v>
      </c>
      <c r="G58" s="56">
        <v>0</v>
      </c>
      <c r="H58" s="57">
        <v>0</v>
      </c>
    </row>
    <row r="59" spans="1:8" ht="20.25">
      <c r="A59" s="21">
        <v>3</v>
      </c>
      <c r="B59" s="147" t="s">
        <v>82</v>
      </c>
      <c r="C59" s="54">
        <v>7</v>
      </c>
      <c r="D59" s="58">
        <f>251.56+212.95</f>
        <v>464.51</v>
      </c>
      <c r="E59" s="56">
        <v>30.36</v>
      </c>
      <c r="F59" s="56">
        <v>182.16</v>
      </c>
      <c r="G59" s="56">
        <v>630</v>
      </c>
      <c r="H59" s="57">
        <v>115</v>
      </c>
    </row>
    <row r="60" spans="1:8" ht="20.25">
      <c r="A60" s="137">
        <v>4</v>
      </c>
      <c r="B60" s="147" t="s">
        <v>93</v>
      </c>
      <c r="C60" s="54">
        <v>1</v>
      </c>
      <c r="D60" s="58">
        <v>24.8</v>
      </c>
      <c r="E60" s="56">
        <v>0</v>
      </c>
      <c r="F60" s="56">
        <v>0</v>
      </c>
      <c r="G60" s="56">
        <v>0</v>
      </c>
      <c r="H60" s="57">
        <v>0</v>
      </c>
    </row>
    <row r="61" spans="1:8" ht="20.25">
      <c r="A61" s="137">
        <v>5</v>
      </c>
      <c r="B61" s="147" t="s">
        <v>168</v>
      </c>
      <c r="C61" s="54">
        <v>1</v>
      </c>
      <c r="D61" s="58">
        <v>5</v>
      </c>
      <c r="E61" s="56">
        <v>0</v>
      </c>
      <c r="F61" s="56">
        <v>0</v>
      </c>
      <c r="G61" s="56">
        <v>0</v>
      </c>
      <c r="H61" s="57">
        <v>0</v>
      </c>
    </row>
    <row r="62" spans="1:8" ht="20.25">
      <c r="A62" s="21">
        <v>5</v>
      </c>
      <c r="B62" s="147" t="s">
        <v>70</v>
      </c>
      <c r="C62" s="54">
        <v>17</v>
      </c>
      <c r="D62" s="58">
        <v>84</v>
      </c>
      <c r="E62" s="56">
        <v>33.909</v>
      </c>
      <c r="F62" s="56">
        <v>67.818</v>
      </c>
      <c r="G62" s="56">
        <v>1307</v>
      </c>
      <c r="H62" s="57">
        <v>20</v>
      </c>
    </row>
    <row r="63" spans="1:8" ht="20.25">
      <c r="A63" s="21">
        <v>6</v>
      </c>
      <c r="B63" s="147" t="s">
        <v>72</v>
      </c>
      <c r="C63" s="54">
        <v>1</v>
      </c>
      <c r="D63" s="58">
        <v>548.78</v>
      </c>
      <c r="E63" s="56">
        <v>0</v>
      </c>
      <c r="F63" s="56">
        <v>0</v>
      </c>
      <c r="G63" s="56">
        <v>330</v>
      </c>
      <c r="H63" s="57">
        <v>0</v>
      </c>
    </row>
    <row r="64" spans="1:8" ht="20.25">
      <c r="A64" s="21">
        <v>7</v>
      </c>
      <c r="B64" s="147" t="s">
        <v>75</v>
      </c>
      <c r="C64" s="54">
        <v>6</v>
      </c>
      <c r="D64" s="58">
        <v>177.01</v>
      </c>
      <c r="E64" s="56">
        <v>8.06</v>
      </c>
      <c r="F64" s="56">
        <v>18.136</v>
      </c>
      <c r="G64" s="56">
        <v>140</v>
      </c>
      <c r="H64" s="57">
        <v>22</v>
      </c>
    </row>
    <row r="65" spans="1:8" ht="20.25">
      <c r="A65" s="137">
        <v>8</v>
      </c>
      <c r="B65" s="147" t="s">
        <v>87</v>
      </c>
      <c r="C65" s="54">
        <v>1</v>
      </c>
      <c r="D65" s="58">
        <v>66.5</v>
      </c>
      <c r="E65" s="56">
        <v>0</v>
      </c>
      <c r="F65" s="56">
        <v>0</v>
      </c>
      <c r="G65" s="56">
        <v>30</v>
      </c>
      <c r="H65" s="57">
        <v>0</v>
      </c>
    </row>
    <row r="66" spans="1:8" ht="18.75">
      <c r="A66" s="87"/>
      <c r="B66" s="148" t="s">
        <v>143</v>
      </c>
      <c r="C66" s="13">
        <f aca="true" t="shared" si="6" ref="C66:H66">SUM(C57:C65)</f>
        <v>37</v>
      </c>
      <c r="D66" s="13">
        <f t="shared" si="6"/>
        <v>1723.81</v>
      </c>
      <c r="E66" s="13">
        <f t="shared" si="6"/>
        <v>89.774</v>
      </c>
      <c r="F66" s="13">
        <f t="shared" si="6"/>
        <v>346.616</v>
      </c>
      <c r="G66" s="15">
        <f t="shared" si="6"/>
        <v>2685</v>
      </c>
      <c r="H66" s="13">
        <f t="shared" si="6"/>
        <v>354</v>
      </c>
    </row>
    <row r="67" spans="1:8" ht="20.25">
      <c r="A67" s="75"/>
      <c r="B67" s="149"/>
      <c r="C67" s="90"/>
      <c r="D67" s="91"/>
      <c r="E67" s="92"/>
      <c r="F67" s="92"/>
      <c r="G67" s="92"/>
      <c r="H67" s="93"/>
    </row>
    <row r="68" spans="1:8" ht="23.25">
      <c r="A68" s="75"/>
      <c r="B68" s="149"/>
      <c r="C68" s="90"/>
      <c r="D68" s="150" t="s">
        <v>166</v>
      </c>
      <c r="E68" s="92"/>
      <c r="F68" s="92"/>
      <c r="G68" s="92"/>
      <c r="H68" s="93"/>
    </row>
    <row r="69" spans="1:8" ht="31.5">
      <c r="A69" s="36" t="s">
        <v>3</v>
      </c>
      <c r="B69" s="37"/>
      <c r="C69" s="38" t="s">
        <v>5</v>
      </c>
      <c r="D69" s="39" t="s">
        <v>6</v>
      </c>
      <c r="E69" s="40" t="s">
        <v>7</v>
      </c>
      <c r="F69" s="41" t="s">
        <v>8</v>
      </c>
      <c r="G69" s="41" t="s">
        <v>9</v>
      </c>
      <c r="H69" s="42" t="s">
        <v>63</v>
      </c>
    </row>
    <row r="70" spans="1:8" ht="15.75">
      <c r="A70" s="21"/>
      <c r="B70" s="43"/>
      <c r="C70" s="44"/>
      <c r="D70" s="45" t="s">
        <v>11</v>
      </c>
      <c r="E70" s="46" t="s">
        <v>64</v>
      </c>
      <c r="F70" s="46" t="s">
        <v>65</v>
      </c>
      <c r="G70" s="46" t="s">
        <v>66</v>
      </c>
      <c r="H70" s="47" t="s">
        <v>15</v>
      </c>
    </row>
    <row r="71" spans="1:8" ht="20.25">
      <c r="A71" s="137">
        <v>1</v>
      </c>
      <c r="B71" s="147" t="s">
        <v>82</v>
      </c>
      <c r="C71" s="54">
        <v>11</v>
      </c>
      <c r="D71" s="58">
        <v>91.24</v>
      </c>
      <c r="E71" s="56">
        <v>0</v>
      </c>
      <c r="F71" s="56">
        <v>0</v>
      </c>
      <c r="G71" s="56">
        <v>4</v>
      </c>
      <c r="H71" s="57">
        <v>0</v>
      </c>
    </row>
    <row r="72" spans="1:8" ht="20.25">
      <c r="A72" s="21">
        <v>2</v>
      </c>
      <c r="B72" s="147" t="s">
        <v>72</v>
      </c>
      <c r="C72" s="54">
        <v>4</v>
      </c>
      <c r="D72" s="58">
        <v>1608.21</v>
      </c>
      <c r="E72" s="56">
        <v>4176.771</v>
      </c>
      <c r="F72" s="56">
        <v>4176.771</v>
      </c>
      <c r="G72" s="56">
        <v>185975.714</v>
      </c>
      <c r="H72" s="57">
        <v>276</v>
      </c>
    </row>
    <row r="73" spans="1:8" ht="20.25">
      <c r="A73" s="21">
        <v>3</v>
      </c>
      <c r="B73" s="149" t="s">
        <v>89</v>
      </c>
      <c r="C73" s="54">
        <v>14</v>
      </c>
      <c r="D73" s="58">
        <v>806.75</v>
      </c>
      <c r="E73" s="56">
        <v>233.02</v>
      </c>
      <c r="F73" s="56">
        <v>139.811</v>
      </c>
      <c r="G73" s="56">
        <v>4318.415</v>
      </c>
      <c r="H73" s="57">
        <v>51</v>
      </c>
    </row>
    <row r="74" spans="1:8" ht="20.25">
      <c r="A74" s="21">
        <v>4</v>
      </c>
      <c r="B74" s="147" t="s">
        <v>76</v>
      </c>
      <c r="C74" s="54">
        <v>0</v>
      </c>
      <c r="D74" s="58">
        <v>0</v>
      </c>
      <c r="E74" s="56">
        <v>0</v>
      </c>
      <c r="F74" s="56">
        <v>0</v>
      </c>
      <c r="G74" s="56">
        <v>43.704</v>
      </c>
      <c r="H74" s="57">
        <v>0</v>
      </c>
    </row>
    <row r="75" spans="1:8" ht="18.75">
      <c r="A75" s="87"/>
      <c r="B75" s="148" t="s">
        <v>143</v>
      </c>
      <c r="C75" s="13">
        <f aca="true" t="shared" si="7" ref="C75:H75">SUM(C71:C74)</f>
        <v>29</v>
      </c>
      <c r="D75" s="13">
        <f t="shared" si="7"/>
        <v>2506.2</v>
      </c>
      <c r="E75" s="13">
        <f t="shared" si="7"/>
        <v>4409.791</v>
      </c>
      <c r="F75" s="13">
        <f t="shared" si="7"/>
        <v>4316.581999999999</v>
      </c>
      <c r="G75" s="13">
        <f t="shared" si="7"/>
        <v>190341.833</v>
      </c>
      <c r="H75" s="13">
        <f t="shared" si="7"/>
        <v>327</v>
      </c>
    </row>
    <row r="76" spans="1:8" ht="20.25">
      <c r="A76" s="75"/>
      <c r="B76" s="149"/>
      <c r="C76" s="90"/>
      <c r="D76" s="91"/>
      <c r="E76" s="92"/>
      <c r="F76" s="92"/>
      <c r="G76" s="92"/>
      <c r="H76" s="93"/>
    </row>
    <row r="77" spans="1:8" ht="23.25">
      <c r="A77" s="75"/>
      <c r="B77" s="149"/>
      <c r="C77" s="90"/>
      <c r="D77" s="150" t="s">
        <v>160</v>
      </c>
      <c r="E77" s="92"/>
      <c r="F77" s="92"/>
      <c r="G77" s="92"/>
      <c r="H77" s="93"/>
    </row>
    <row r="78" spans="1:8" ht="31.5">
      <c r="A78" s="36" t="s">
        <v>3</v>
      </c>
      <c r="B78" s="37"/>
      <c r="C78" s="38" t="s">
        <v>5</v>
      </c>
      <c r="D78" s="39" t="s">
        <v>6</v>
      </c>
      <c r="E78" s="40" t="s">
        <v>7</v>
      </c>
      <c r="F78" s="41" t="s">
        <v>8</v>
      </c>
      <c r="G78" s="41" t="s">
        <v>9</v>
      </c>
      <c r="H78" s="42" t="s">
        <v>63</v>
      </c>
    </row>
    <row r="79" spans="1:8" ht="15.75">
      <c r="A79" s="21"/>
      <c r="B79" s="43"/>
      <c r="C79" s="44"/>
      <c r="D79" s="45" t="s">
        <v>11</v>
      </c>
      <c r="E79" s="46" t="s">
        <v>64</v>
      </c>
      <c r="F79" s="46" t="s">
        <v>65</v>
      </c>
      <c r="G79" s="46" t="s">
        <v>66</v>
      </c>
      <c r="H79" s="47" t="s">
        <v>15</v>
      </c>
    </row>
    <row r="80" spans="1:8" ht="20.25">
      <c r="A80" s="21">
        <v>1</v>
      </c>
      <c r="B80" s="147" t="s">
        <v>83</v>
      </c>
      <c r="C80" s="54">
        <v>1</v>
      </c>
      <c r="D80" s="58">
        <v>5</v>
      </c>
      <c r="E80" s="56">
        <v>0.297</v>
      </c>
      <c r="F80" s="56">
        <v>1.485</v>
      </c>
      <c r="G80" s="56">
        <v>34</v>
      </c>
      <c r="H80" s="57">
        <v>12</v>
      </c>
    </row>
    <row r="81" spans="1:8" ht="20.25">
      <c r="A81" s="21">
        <v>2</v>
      </c>
      <c r="B81" s="147" t="s">
        <v>93</v>
      </c>
      <c r="C81" s="54">
        <v>0</v>
      </c>
      <c r="D81" s="58">
        <v>0</v>
      </c>
      <c r="E81" s="56">
        <v>11.262</v>
      </c>
      <c r="F81" s="56">
        <v>19.708</v>
      </c>
      <c r="G81" s="56">
        <v>214</v>
      </c>
      <c r="H81" s="57">
        <v>5</v>
      </c>
    </row>
    <row r="82" spans="1:8" ht="20.25">
      <c r="A82" s="21">
        <v>3</v>
      </c>
      <c r="B82" s="147" t="s">
        <v>76</v>
      </c>
      <c r="C82" s="54">
        <v>35</v>
      </c>
      <c r="D82" s="58">
        <v>1933.29</v>
      </c>
      <c r="E82" s="56">
        <v>173.087</v>
      </c>
      <c r="F82" s="56">
        <v>2769.39</v>
      </c>
      <c r="G82" s="56">
        <v>16537.959</v>
      </c>
      <c r="H82" s="57">
        <v>670</v>
      </c>
    </row>
    <row r="83" spans="1:8" ht="18.75">
      <c r="A83" s="87"/>
      <c r="B83" s="148" t="s">
        <v>143</v>
      </c>
      <c r="C83" s="13">
        <f aca="true" t="shared" si="8" ref="C83:H83">SUM(C79:C82)</f>
        <v>36</v>
      </c>
      <c r="D83" s="13">
        <f t="shared" si="8"/>
        <v>1938.29</v>
      </c>
      <c r="E83" s="15">
        <f t="shared" si="8"/>
        <v>184.646</v>
      </c>
      <c r="F83" s="15">
        <f t="shared" si="8"/>
        <v>2790.583</v>
      </c>
      <c r="G83" s="15">
        <f t="shared" si="8"/>
        <v>16785.959</v>
      </c>
      <c r="H83" s="13">
        <f t="shared" si="8"/>
        <v>687</v>
      </c>
    </row>
    <row r="84" spans="1:8" ht="20.25">
      <c r="A84" s="75"/>
      <c r="B84" s="149"/>
      <c r="C84" s="90"/>
      <c r="D84" s="91"/>
      <c r="E84" s="92"/>
      <c r="F84" s="92"/>
      <c r="G84" s="92"/>
      <c r="H84" s="93"/>
    </row>
    <row r="85" spans="1:8" ht="23.25">
      <c r="A85" s="75"/>
      <c r="B85" s="149"/>
      <c r="C85" s="90"/>
      <c r="D85" s="150" t="s">
        <v>175</v>
      </c>
      <c r="E85" s="92"/>
      <c r="F85" s="92"/>
      <c r="G85" s="92"/>
      <c r="H85" s="93"/>
    </row>
    <row r="86" spans="1:8" ht="31.5">
      <c r="A86" s="36" t="s">
        <v>3</v>
      </c>
      <c r="B86" s="37"/>
      <c r="C86" s="38" t="s">
        <v>5</v>
      </c>
      <c r="D86" s="39" t="s">
        <v>6</v>
      </c>
      <c r="E86" s="40" t="s">
        <v>7</v>
      </c>
      <c r="F86" s="41" t="s">
        <v>8</v>
      </c>
      <c r="G86" s="41" t="s">
        <v>9</v>
      </c>
      <c r="H86" s="42" t="s">
        <v>63</v>
      </c>
    </row>
    <row r="87" spans="1:8" ht="15.75">
      <c r="A87" s="21"/>
      <c r="B87" s="43"/>
      <c r="C87" s="44"/>
      <c r="D87" s="45" t="s">
        <v>11</v>
      </c>
      <c r="E87" s="46" t="s">
        <v>64</v>
      </c>
      <c r="F87" s="46" t="s">
        <v>65</v>
      </c>
      <c r="G87" s="46" t="s">
        <v>66</v>
      </c>
      <c r="H87" s="47" t="s">
        <v>15</v>
      </c>
    </row>
    <row r="88" spans="1:8" ht="20.25">
      <c r="A88" s="21">
        <v>1</v>
      </c>
      <c r="B88" s="147" t="s">
        <v>101</v>
      </c>
      <c r="C88" s="54">
        <v>18</v>
      </c>
      <c r="D88" s="58">
        <f>8128.64+35</f>
        <v>8163.64</v>
      </c>
      <c r="E88" s="56">
        <v>695.874</v>
      </c>
      <c r="F88" s="56">
        <v>1510.01</v>
      </c>
      <c r="G88" s="56">
        <v>29674.345</v>
      </c>
      <c r="H88" s="57">
        <v>180</v>
      </c>
    </row>
    <row r="89" spans="1:8" ht="18.75">
      <c r="A89" s="87"/>
      <c r="B89" s="148" t="s">
        <v>143</v>
      </c>
      <c r="C89" s="13">
        <f aca="true" t="shared" si="9" ref="C89:H89">SUM(C85:C88)</f>
        <v>18</v>
      </c>
      <c r="D89" s="13">
        <f t="shared" si="9"/>
        <v>8163.64</v>
      </c>
      <c r="E89" s="15">
        <f t="shared" si="9"/>
        <v>695.874</v>
      </c>
      <c r="F89" s="15">
        <f t="shared" si="9"/>
        <v>1510.01</v>
      </c>
      <c r="G89" s="15">
        <f t="shared" si="9"/>
        <v>29674.345</v>
      </c>
      <c r="H89" s="13">
        <f t="shared" si="9"/>
        <v>180</v>
      </c>
    </row>
    <row r="90" spans="1:8" ht="20.25">
      <c r="A90" s="75"/>
      <c r="B90" s="149"/>
      <c r="C90" s="90"/>
      <c r="D90" s="91"/>
      <c r="E90" s="92"/>
      <c r="F90" s="92"/>
      <c r="G90" s="92"/>
      <c r="H90" s="93"/>
    </row>
    <row r="91" spans="1:8" ht="23.25">
      <c r="A91" s="75"/>
      <c r="B91" s="149"/>
      <c r="C91" s="90"/>
      <c r="D91" s="150" t="s">
        <v>173</v>
      </c>
      <c r="E91" s="92"/>
      <c r="F91" s="92"/>
      <c r="G91" s="92"/>
      <c r="H91" s="93"/>
    </row>
    <row r="92" spans="1:8" ht="31.5">
      <c r="A92" s="36" t="s">
        <v>3</v>
      </c>
      <c r="B92" s="37"/>
      <c r="C92" s="38" t="s">
        <v>5</v>
      </c>
      <c r="D92" s="39" t="s">
        <v>6</v>
      </c>
      <c r="E92" s="40" t="s">
        <v>7</v>
      </c>
      <c r="F92" s="41" t="s">
        <v>8</v>
      </c>
      <c r="G92" s="41" t="s">
        <v>9</v>
      </c>
      <c r="H92" s="42" t="s">
        <v>63</v>
      </c>
    </row>
    <row r="93" spans="1:8" ht="15.75">
      <c r="A93" s="21"/>
      <c r="B93" s="43"/>
      <c r="C93" s="44"/>
      <c r="D93" s="45" t="s">
        <v>11</v>
      </c>
      <c r="E93" s="46" t="s">
        <v>64</v>
      </c>
      <c r="F93" s="46" t="s">
        <v>65</v>
      </c>
      <c r="G93" s="46" t="s">
        <v>66</v>
      </c>
      <c r="H93" s="47" t="s">
        <v>15</v>
      </c>
    </row>
    <row r="94" spans="1:8" ht="20.25">
      <c r="A94" s="137">
        <v>1</v>
      </c>
      <c r="B94" s="147" t="s">
        <v>70</v>
      </c>
      <c r="C94" s="54">
        <v>0</v>
      </c>
      <c r="D94" s="58">
        <v>0</v>
      </c>
      <c r="E94" s="56">
        <v>20.9</v>
      </c>
      <c r="F94" s="56">
        <v>41.8</v>
      </c>
      <c r="G94" s="56">
        <f>418+20</f>
        <v>438</v>
      </c>
      <c r="H94" s="57">
        <v>160</v>
      </c>
    </row>
    <row r="95" spans="1:8" ht="20.25">
      <c r="A95" s="21">
        <v>2</v>
      </c>
      <c r="B95" s="147" t="s">
        <v>71</v>
      </c>
      <c r="C95" s="54">
        <v>12</v>
      </c>
      <c r="D95" s="58">
        <v>209.4</v>
      </c>
      <c r="E95" s="56">
        <v>0</v>
      </c>
      <c r="F95" s="56">
        <v>0</v>
      </c>
      <c r="G95" s="56">
        <v>231</v>
      </c>
      <c r="H95" s="57">
        <v>0</v>
      </c>
    </row>
    <row r="96" spans="1:8" ht="20.25">
      <c r="A96" s="21">
        <v>3</v>
      </c>
      <c r="B96" s="147" t="s">
        <v>75</v>
      </c>
      <c r="C96" s="54">
        <v>24</v>
      </c>
      <c r="D96" s="58">
        <v>719.33</v>
      </c>
      <c r="E96" s="56">
        <v>31.35</v>
      </c>
      <c r="F96" s="56">
        <v>62.7</v>
      </c>
      <c r="G96" s="56">
        <f>627+40</f>
        <v>667</v>
      </c>
      <c r="H96" s="57">
        <v>180</v>
      </c>
    </row>
    <row r="97" spans="1:8" ht="20.25">
      <c r="A97" s="21">
        <v>4</v>
      </c>
      <c r="B97" s="147" t="s">
        <v>87</v>
      </c>
      <c r="C97" s="54">
        <v>7</v>
      </c>
      <c r="D97" s="58">
        <v>290.85</v>
      </c>
      <c r="E97" s="56">
        <v>34.85</v>
      </c>
      <c r="F97" s="56">
        <v>69.7</v>
      </c>
      <c r="G97" s="56">
        <v>697</v>
      </c>
      <c r="H97" s="57">
        <v>80</v>
      </c>
    </row>
    <row r="98" spans="1:8" ht="20.25">
      <c r="A98" s="21">
        <v>5</v>
      </c>
      <c r="B98" s="147" t="s">
        <v>79</v>
      </c>
      <c r="C98" s="54">
        <v>0</v>
      </c>
      <c r="D98" s="58">
        <v>0</v>
      </c>
      <c r="E98" s="56">
        <v>0</v>
      </c>
      <c r="F98" s="56">
        <v>0</v>
      </c>
      <c r="G98" s="56">
        <v>398</v>
      </c>
      <c r="H98" s="57">
        <v>0</v>
      </c>
    </row>
    <row r="99" spans="1:8" ht="18.75">
      <c r="A99" s="87"/>
      <c r="B99" s="148" t="s">
        <v>143</v>
      </c>
      <c r="C99" s="13">
        <f aca="true" t="shared" si="10" ref="C99:H99">SUM(C94:C98)</f>
        <v>43</v>
      </c>
      <c r="D99" s="13">
        <f t="shared" si="10"/>
        <v>1219.58</v>
      </c>
      <c r="E99" s="15">
        <f t="shared" si="10"/>
        <v>87.1</v>
      </c>
      <c r="F99" s="15">
        <f t="shared" si="10"/>
        <v>174.2</v>
      </c>
      <c r="G99" s="15">
        <f t="shared" si="10"/>
        <v>2431</v>
      </c>
      <c r="H99" s="13">
        <f t="shared" si="10"/>
        <v>420</v>
      </c>
    </row>
    <row r="100" spans="1:8" ht="20.25">
      <c r="A100" s="75"/>
      <c r="B100" s="149"/>
      <c r="C100" s="90"/>
      <c r="D100" s="91"/>
      <c r="E100" s="92"/>
      <c r="F100" s="92"/>
      <c r="G100" s="92"/>
      <c r="H100" s="93"/>
    </row>
    <row r="101" spans="1:8" ht="23.25">
      <c r="A101" s="75"/>
      <c r="B101" s="149"/>
      <c r="C101" s="90"/>
      <c r="D101" s="150" t="s">
        <v>153</v>
      </c>
      <c r="E101" s="92"/>
      <c r="F101" s="92"/>
      <c r="G101" s="92"/>
      <c r="H101" s="93"/>
    </row>
    <row r="102" spans="1:8" ht="31.5">
      <c r="A102" s="36" t="s">
        <v>3</v>
      </c>
      <c r="B102" s="37"/>
      <c r="C102" s="38" t="s">
        <v>5</v>
      </c>
      <c r="D102" s="39" t="s">
        <v>6</v>
      </c>
      <c r="E102" s="40" t="s">
        <v>7</v>
      </c>
      <c r="F102" s="41" t="s">
        <v>8</v>
      </c>
      <c r="G102" s="41" t="s">
        <v>9</v>
      </c>
      <c r="H102" s="42" t="s">
        <v>63</v>
      </c>
    </row>
    <row r="103" spans="1:8" ht="15.75">
      <c r="A103" s="21"/>
      <c r="B103" s="43"/>
      <c r="C103" s="44"/>
      <c r="D103" s="45" t="s">
        <v>11</v>
      </c>
      <c r="E103" s="46" t="s">
        <v>64</v>
      </c>
      <c r="F103" s="46" t="s">
        <v>65</v>
      </c>
      <c r="G103" s="46" t="s">
        <v>66</v>
      </c>
      <c r="H103" s="47" t="s">
        <v>15</v>
      </c>
    </row>
    <row r="104" spans="1:8" ht="20.25">
      <c r="A104" s="21">
        <v>1</v>
      </c>
      <c r="B104" s="147" t="s">
        <v>68</v>
      </c>
      <c r="C104" s="54">
        <v>5</v>
      </c>
      <c r="D104" s="58">
        <v>272.804</v>
      </c>
      <c r="E104" s="56">
        <v>0</v>
      </c>
      <c r="F104" s="56">
        <v>0</v>
      </c>
      <c r="G104" s="56">
        <v>0</v>
      </c>
      <c r="H104" s="57">
        <v>0</v>
      </c>
    </row>
    <row r="105" spans="1:8" ht="20.25">
      <c r="A105" s="21">
        <v>2</v>
      </c>
      <c r="B105" s="147" t="s">
        <v>70</v>
      </c>
      <c r="C105" s="54">
        <v>0</v>
      </c>
      <c r="D105" s="58">
        <v>0</v>
      </c>
      <c r="E105" s="56">
        <v>70.259</v>
      </c>
      <c r="F105" s="56">
        <v>140.52</v>
      </c>
      <c r="G105" s="56">
        <v>5766.404</v>
      </c>
      <c r="H105" s="57">
        <f>15*91</f>
        <v>1365</v>
      </c>
    </row>
    <row r="106" spans="1:8" ht="20.25">
      <c r="A106" s="21">
        <v>3</v>
      </c>
      <c r="B106" s="147" t="s">
        <v>75</v>
      </c>
      <c r="C106" s="54">
        <v>111</v>
      </c>
      <c r="D106" s="58">
        <v>505.898</v>
      </c>
      <c r="E106" s="56">
        <v>5.049</v>
      </c>
      <c r="F106" s="56">
        <v>10.1</v>
      </c>
      <c r="G106" s="56">
        <v>411.886</v>
      </c>
      <c r="H106" s="57">
        <f>15*20</f>
        <v>300</v>
      </c>
    </row>
    <row r="107" spans="1:8" ht="18.75" customHeight="1">
      <c r="A107" s="21">
        <v>4</v>
      </c>
      <c r="B107" s="147" t="s">
        <v>79</v>
      </c>
      <c r="C107" s="54">
        <v>0</v>
      </c>
      <c r="D107" s="58">
        <v>0</v>
      </c>
      <c r="E107" s="56">
        <v>0</v>
      </c>
      <c r="F107" s="56">
        <v>0</v>
      </c>
      <c r="G107" s="56">
        <f>1156.08+140.9</f>
        <v>1296.98</v>
      </c>
      <c r="H107" s="57">
        <v>0</v>
      </c>
    </row>
    <row r="108" spans="1:8" ht="15.75" customHeight="1">
      <c r="A108" s="87"/>
      <c r="B108" s="148" t="s">
        <v>143</v>
      </c>
      <c r="C108" s="13">
        <f aca="true" t="shared" si="11" ref="C108:H108">SUM(C104:C107)</f>
        <v>116</v>
      </c>
      <c r="D108" s="13">
        <f t="shared" si="11"/>
        <v>778.702</v>
      </c>
      <c r="E108" s="15">
        <f t="shared" si="11"/>
        <v>75.308</v>
      </c>
      <c r="F108" s="15">
        <f t="shared" si="11"/>
        <v>150.62</v>
      </c>
      <c r="G108" s="15">
        <f t="shared" si="11"/>
        <v>7475.27</v>
      </c>
      <c r="H108" s="13">
        <f t="shared" si="11"/>
        <v>1665</v>
      </c>
    </row>
    <row r="109" spans="1:8" ht="15.75" customHeight="1">
      <c r="A109" s="75"/>
      <c r="B109" s="149"/>
      <c r="C109" s="90"/>
      <c r="D109" s="91"/>
      <c r="E109" s="92"/>
      <c r="F109" s="92"/>
      <c r="G109" s="92"/>
      <c r="H109" s="93"/>
    </row>
    <row r="110" spans="1:8" ht="21.75" customHeight="1">
      <c r="A110" s="75"/>
      <c r="B110" s="149"/>
      <c r="C110" s="90"/>
      <c r="D110" s="150" t="s">
        <v>148</v>
      </c>
      <c r="E110" s="92"/>
      <c r="F110" s="92"/>
      <c r="G110" s="92"/>
      <c r="H110" s="93"/>
    </row>
    <row r="111" spans="1:8" ht="15.75" customHeight="1">
      <c r="A111" s="36" t="s">
        <v>3</v>
      </c>
      <c r="B111" s="37"/>
      <c r="C111" s="38" t="s">
        <v>5</v>
      </c>
      <c r="D111" s="39" t="s">
        <v>6</v>
      </c>
      <c r="E111" s="40" t="s">
        <v>7</v>
      </c>
      <c r="F111" s="41" t="s">
        <v>8</v>
      </c>
      <c r="G111" s="41" t="s">
        <v>9</v>
      </c>
      <c r="H111" s="42" t="s">
        <v>63</v>
      </c>
    </row>
    <row r="112" spans="1:8" ht="15.75" customHeight="1">
      <c r="A112" s="21"/>
      <c r="B112" s="43"/>
      <c r="C112" s="44"/>
      <c r="D112" s="45" t="s">
        <v>11</v>
      </c>
      <c r="E112" s="46" t="s">
        <v>64</v>
      </c>
      <c r="F112" s="46" t="s">
        <v>65</v>
      </c>
      <c r="G112" s="46" t="s">
        <v>66</v>
      </c>
      <c r="H112" s="47" t="s">
        <v>15</v>
      </c>
    </row>
    <row r="113" spans="1:8" ht="18" customHeight="1">
      <c r="A113" s="21">
        <v>1</v>
      </c>
      <c r="B113" s="147" t="s">
        <v>67</v>
      </c>
      <c r="C113" s="54">
        <v>1</v>
      </c>
      <c r="D113" s="58">
        <v>480.45</v>
      </c>
      <c r="E113" s="56">
        <v>0</v>
      </c>
      <c r="F113" s="56">
        <v>0</v>
      </c>
      <c r="G113" s="56">
        <v>916.61</v>
      </c>
      <c r="H113" s="57">
        <v>31</v>
      </c>
    </row>
    <row r="114" spans="1:8" s="136" customFormat="1" ht="18" customHeight="1">
      <c r="A114" s="21">
        <v>2</v>
      </c>
      <c r="B114" s="147" t="s">
        <v>68</v>
      </c>
      <c r="C114" s="54">
        <v>1</v>
      </c>
      <c r="D114" s="58">
        <v>33.04</v>
      </c>
      <c r="E114" s="56">
        <v>0</v>
      </c>
      <c r="F114" s="56">
        <v>0</v>
      </c>
      <c r="G114" s="56">
        <v>0</v>
      </c>
      <c r="H114" s="57">
        <v>0</v>
      </c>
    </row>
    <row r="115" spans="1:8" s="75" customFormat="1" ht="18" customHeight="1">
      <c r="A115" s="21">
        <v>3</v>
      </c>
      <c r="B115" s="147" t="s">
        <v>69</v>
      </c>
      <c r="C115" s="54">
        <v>2</v>
      </c>
      <c r="D115" s="58">
        <v>54.96</v>
      </c>
      <c r="E115" s="56">
        <v>0</v>
      </c>
      <c r="F115" s="56">
        <v>0</v>
      </c>
      <c r="G115" s="56">
        <v>0</v>
      </c>
      <c r="H115" s="57">
        <v>0</v>
      </c>
    </row>
    <row r="116" spans="1:8" s="75" customFormat="1" ht="18" customHeight="1">
      <c r="A116" s="21">
        <v>4</v>
      </c>
      <c r="B116" s="147" t="s">
        <v>70</v>
      </c>
      <c r="C116" s="54">
        <v>147</v>
      </c>
      <c r="D116" s="58">
        <v>1923.96</v>
      </c>
      <c r="E116" s="56">
        <v>184.321</v>
      </c>
      <c r="F116" s="56">
        <v>387.074</v>
      </c>
      <c r="G116" s="56">
        <f>9557.683-755.4</f>
        <v>8802.283000000001</v>
      </c>
      <c r="H116" s="57">
        <v>1580</v>
      </c>
    </row>
    <row r="117" spans="1:8" ht="18" customHeight="1">
      <c r="A117" s="21">
        <v>5</v>
      </c>
      <c r="B117" s="147" t="s">
        <v>71</v>
      </c>
      <c r="C117" s="54">
        <v>6</v>
      </c>
      <c r="D117" s="58">
        <v>29.14</v>
      </c>
      <c r="E117" s="56">
        <v>0</v>
      </c>
      <c r="F117" s="56">
        <v>0</v>
      </c>
      <c r="G117" s="56">
        <v>3</v>
      </c>
      <c r="H117" s="57">
        <v>2</v>
      </c>
    </row>
    <row r="118" spans="1:8" ht="18" customHeight="1">
      <c r="A118" s="21">
        <v>6</v>
      </c>
      <c r="B118" s="147" t="s">
        <v>72</v>
      </c>
      <c r="C118" s="54">
        <v>1</v>
      </c>
      <c r="D118" s="58">
        <v>858.8</v>
      </c>
      <c r="E118" s="56">
        <v>1405.532</v>
      </c>
      <c r="F118" s="56">
        <v>2038.021</v>
      </c>
      <c r="G118" s="56">
        <v>61416.776</v>
      </c>
      <c r="H118" s="57">
        <v>72</v>
      </c>
    </row>
    <row r="119" spans="1:8" ht="18" customHeight="1">
      <c r="A119" s="21">
        <v>7</v>
      </c>
      <c r="B119" s="147" t="s">
        <v>73</v>
      </c>
      <c r="C119" s="54">
        <v>2</v>
      </c>
      <c r="D119" s="58">
        <v>134.5</v>
      </c>
      <c r="E119" s="56">
        <v>0</v>
      </c>
      <c r="F119" s="56">
        <v>0</v>
      </c>
      <c r="G119" s="56">
        <v>0</v>
      </c>
      <c r="H119" s="57">
        <v>0</v>
      </c>
    </row>
    <row r="120" spans="1:8" ht="18" customHeight="1">
      <c r="A120" s="21">
        <v>8</v>
      </c>
      <c r="B120" s="147" t="s">
        <v>181</v>
      </c>
      <c r="C120" s="54">
        <v>2</v>
      </c>
      <c r="D120" s="58">
        <v>9.98</v>
      </c>
      <c r="E120" s="56">
        <v>195</v>
      </c>
      <c r="F120" s="56">
        <v>0.92</v>
      </c>
      <c r="G120" s="56">
        <v>4.2</v>
      </c>
      <c r="H120" s="57">
        <v>4</v>
      </c>
    </row>
    <row r="121" spans="1:8" s="136" customFormat="1" ht="18" customHeight="1">
      <c r="A121" s="21">
        <v>9</v>
      </c>
      <c r="B121" s="147" t="s">
        <v>75</v>
      </c>
      <c r="C121" s="54">
        <v>86</v>
      </c>
      <c r="D121" s="58">
        <v>798.02</v>
      </c>
      <c r="E121" s="56">
        <v>72.428</v>
      </c>
      <c r="F121" s="56">
        <v>144.856</v>
      </c>
      <c r="G121" s="56">
        <f>7485.268-755.5</f>
        <v>6729.768</v>
      </c>
      <c r="H121" s="57">
        <v>1030</v>
      </c>
    </row>
    <row r="122" spans="1:8" ht="18" customHeight="1">
      <c r="A122" s="21">
        <v>10</v>
      </c>
      <c r="B122" s="147" t="s">
        <v>76</v>
      </c>
      <c r="C122" s="54">
        <v>1</v>
      </c>
      <c r="D122" s="58">
        <v>5</v>
      </c>
      <c r="E122" s="56">
        <v>0.836</v>
      </c>
      <c r="F122" s="56">
        <v>1.212</v>
      </c>
      <c r="G122" s="56">
        <v>61.06</v>
      </c>
      <c r="H122" s="57">
        <v>6</v>
      </c>
    </row>
    <row r="123" spans="1:8" ht="18" customHeight="1">
      <c r="A123" s="21">
        <v>11</v>
      </c>
      <c r="B123" s="147" t="s">
        <v>77</v>
      </c>
      <c r="C123" s="54">
        <v>2</v>
      </c>
      <c r="D123" s="58">
        <v>9.93</v>
      </c>
      <c r="E123" s="56">
        <v>0.015</v>
      </c>
      <c r="F123" s="56">
        <v>0.09</v>
      </c>
      <c r="G123" s="56">
        <v>2</v>
      </c>
      <c r="H123" s="57">
        <v>0</v>
      </c>
    </row>
    <row r="124" spans="1:8" ht="18" customHeight="1">
      <c r="A124" s="21">
        <v>12</v>
      </c>
      <c r="B124" s="147" t="s">
        <v>78</v>
      </c>
      <c r="C124" s="54">
        <v>3</v>
      </c>
      <c r="D124" s="58">
        <v>50</v>
      </c>
      <c r="E124" s="56">
        <v>3.421</v>
      </c>
      <c r="F124" s="56">
        <v>8.552</v>
      </c>
      <c r="G124" s="56">
        <v>731.21</v>
      </c>
      <c r="H124" s="57">
        <v>28</v>
      </c>
    </row>
    <row r="125" spans="1:8" ht="18" customHeight="1">
      <c r="A125" s="21">
        <v>13</v>
      </c>
      <c r="B125" s="147" t="s">
        <v>79</v>
      </c>
      <c r="C125" s="54">
        <v>0</v>
      </c>
      <c r="D125" s="58">
        <v>0</v>
      </c>
      <c r="E125" s="56">
        <v>0</v>
      </c>
      <c r="F125" s="56">
        <v>0</v>
      </c>
      <c r="G125" s="56">
        <v>1510.9</v>
      </c>
      <c r="H125" s="57">
        <v>0</v>
      </c>
    </row>
    <row r="126" spans="1:8" ht="18.75">
      <c r="A126" s="21"/>
      <c r="B126" s="148" t="s">
        <v>143</v>
      </c>
      <c r="C126" s="13">
        <f>SUM(C113:C125)</f>
        <v>254</v>
      </c>
      <c r="D126" s="13">
        <f>SUM(D113:D125)</f>
        <v>4387.78</v>
      </c>
      <c r="E126" s="13">
        <v>1666.748</v>
      </c>
      <c r="F126" s="13">
        <f>SUM(F113:F125)</f>
        <v>2580.7250000000004</v>
      </c>
      <c r="G126" s="13">
        <f>SUM(G113:G125)</f>
        <v>80177.80699999999</v>
      </c>
      <c r="H126" s="13">
        <f>SUM(H113:H125)</f>
        <v>2753</v>
      </c>
    </row>
    <row r="127" spans="1:8" ht="20.25">
      <c r="A127" s="75"/>
      <c r="B127" s="149"/>
      <c r="C127" s="90"/>
      <c r="D127" s="91"/>
      <c r="E127" s="92"/>
      <c r="F127" s="92"/>
      <c r="G127" s="92"/>
      <c r="H127" s="93"/>
    </row>
    <row r="128" spans="1:8" ht="23.25">
      <c r="A128" s="75"/>
      <c r="B128" s="149"/>
      <c r="C128" s="90"/>
      <c r="D128" s="150" t="s">
        <v>145</v>
      </c>
      <c r="E128" s="92"/>
      <c r="F128" s="92"/>
      <c r="G128" s="92"/>
      <c r="H128" s="93"/>
    </row>
    <row r="129" spans="1:8" ht="31.5">
      <c r="A129" s="36" t="s">
        <v>3</v>
      </c>
      <c r="B129" s="37"/>
      <c r="C129" s="38" t="s">
        <v>5</v>
      </c>
      <c r="D129" s="39" t="s">
        <v>6</v>
      </c>
      <c r="E129" s="40" t="s">
        <v>7</v>
      </c>
      <c r="F129" s="41" t="s">
        <v>8</v>
      </c>
      <c r="G129" s="41" t="s">
        <v>9</v>
      </c>
      <c r="H129" s="42" t="s">
        <v>63</v>
      </c>
    </row>
    <row r="130" spans="1:8" ht="15.75">
      <c r="A130" s="21"/>
      <c r="B130" s="43"/>
      <c r="C130" s="44"/>
      <c r="D130" s="45" t="s">
        <v>11</v>
      </c>
      <c r="E130" s="46" t="s">
        <v>64</v>
      </c>
      <c r="F130" s="46" t="s">
        <v>65</v>
      </c>
      <c r="G130" s="46" t="s">
        <v>66</v>
      </c>
      <c r="H130" s="47" t="s">
        <v>15</v>
      </c>
    </row>
    <row r="131" spans="1:8" ht="20.25">
      <c r="A131" s="21">
        <v>1</v>
      </c>
      <c r="B131" s="147" t="s">
        <v>84</v>
      </c>
      <c r="C131" s="54">
        <v>1</v>
      </c>
      <c r="D131" s="58">
        <v>69.36</v>
      </c>
      <c r="E131" s="56">
        <v>0</v>
      </c>
      <c r="F131" s="56">
        <v>0</v>
      </c>
      <c r="G131" s="56">
        <v>13.874</v>
      </c>
      <c r="H131" s="57">
        <v>0</v>
      </c>
    </row>
    <row r="132" spans="1:8" ht="20.25">
      <c r="A132" s="21">
        <v>2</v>
      </c>
      <c r="B132" s="147" t="s">
        <v>85</v>
      </c>
      <c r="C132" s="54">
        <v>1</v>
      </c>
      <c r="D132" s="58">
        <v>3.58</v>
      </c>
      <c r="E132" s="56">
        <v>0.069</v>
      </c>
      <c r="F132" s="56">
        <v>0.0863</v>
      </c>
      <c r="G132" s="56">
        <v>6.474</v>
      </c>
      <c r="H132" s="57">
        <v>3</v>
      </c>
    </row>
    <row r="133" spans="1:8" ht="20.25">
      <c r="A133" s="21">
        <v>3</v>
      </c>
      <c r="B133" s="147" t="s">
        <v>70</v>
      </c>
      <c r="C133" s="54">
        <v>1</v>
      </c>
      <c r="D133" s="58">
        <v>4.73</v>
      </c>
      <c r="E133" s="56">
        <v>0.118</v>
      </c>
      <c r="F133" s="56">
        <v>0.354</v>
      </c>
      <c r="G133" s="56">
        <v>9.29</v>
      </c>
      <c r="H133" s="57">
        <v>3</v>
      </c>
    </row>
    <row r="134" spans="1:8" s="136" customFormat="1" ht="20.25">
      <c r="A134" s="21">
        <v>4</v>
      </c>
      <c r="B134" s="147" t="s">
        <v>86</v>
      </c>
      <c r="C134" s="54">
        <v>1</v>
      </c>
      <c r="D134" s="58">
        <v>20</v>
      </c>
      <c r="E134" s="56">
        <v>1.655</v>
      </c>
      <c r="F134" s="56">
        <v>2.482</v>
      </c>
      <c r="G134" s="56">
        <v>40</v>
      </c>
      <c r="H134" s="57">
        <v>2</v>
      </c>
    </row>
    <row r="135" spans="1:8" s="75" customFormat="1" ht="20.25">
      <c r="A135" s="21">
        <v>5</v>
      </c>
      <c r="B135" s="147" t="s">
        <v>75</v>
      </c>
      <c r="C135" s="54">
        <v>0</v>
      </c>
      <c r="D135" s="58">
        <v>0</v>
      </c>
      <c r="E135" s="56">
        <v>0.91</v>
      </c>
      <c r="F135" s="56">
        <v>2.138</v>
      </c>
      <c r="G135" s="56">
        <v>10.8</v>
      </c>
      <c r="H135" s="57">
        <v>7</v>
      </c>
    </row>
    <row r="136" spans="1:8" s="75" customFormat="1" ht="20.25">
      <c r="A136" s="21">
        <v>6</v>
      </c>
      <c r="B136" s="147" t="s">
        <v>87</v>
      </c>
      <c r="C136" s="54">
        <v>2</v>
      </c>
      <c r="D136" s="58">
        <v>8.73</v>
      </c>
      <c r="E136" s="56">
        <v>5.76</v>
      </c>
      <c r="F136" s="56">
        <v>9.504</v>
      </c>
      <c r="G136" s="56">
        <v>135</v>
      </c>
      <c r="H136" s="57">
        <v>3</v>
      </c>
    </row>
    <row r="137" spans="1:8" ht="20.25">
      <c r="A137" s="21">
        <v>7</v>
      </c>
      <c r="B137" s="147" t="s">
        <v>76</v>
      </c>
      <c r="C137" s="54">
        <v>1</v>
      </c>
      <c r="D137" s="58">
        <v>4.68</v>
      </c>
      <c r="E137" s="56">
        <v>0</v>
      </c>
      <c r="F137" s="56">
        <v>0</v>
      </c>
      <c r="G137" s="56">
        <v>77.513</v>
      </c>
      <c r="H137" s="57">
        <v>0</v>
      </c>
    </row>
    <row r="138" spans="1:8" ht="20.25">
      <c r="A138" s="21">
        <v>8</v>
      </c>
      <c r="B138" s="147" t="s">
        <v>79</v>
      </c>
      <c r="C138" s="54">
        <v>0</v>
      </c>
      <c r="D138" s="58">
        <v>0</v>
      </c>
      <c r="E138" s="56">
        <v>0</v>
      </c>
      <c r="F138" s="56">
        <v>0</v>
      </c>
      <c r="G138" s="56">
        <v>46.25</v>
      </c>
      <c r="H138" s="57">
        <v>0</v>
      </c>
    </row>
    <row r="139" spans="1:8" ht="18.75">
      <c r="A139" s="87"/>
      <c r="B139" s="148" t="s">
        <v>143</v>
      </c>
      <c r="C139" s="13">
        <f aca="true" t="shared" si="12" ref="C139:H139">SUM(C131:C138)</f>
        <v>7</v>
      </c>
      <c r="D139" s="13">
        <f t="shared" si="12"/>
        <v>111.08000000000001</v>
      </c>
      <c r="E139" s="13">
        <f t="shared" si="12"/>
        <v>8.512</v>
      </c>
      <c r="F139" s="13">
        <f t="shared" si="12"/>
        <v>14.5643</v>
      </c>
      <c r="G139" s="13">
        <f t="shared" si="12"/>
        <v>339.201</v>
      </c>
      <c r="H139" s="13">
        <f t="shared" si="12"/>
        <v>18</v>
      </c>
    </row>
    <row r="140" spans="1:8" ht="20.25">
      <c r="A140" s="75"/>
      <c r="B140" s="149"/>
      <c r="C140" s="90"/>
      <c r="D140" s="91"/>
      <c r="E140" s="92"/>
      <c r="F140" s="92"/>
      <c r="G140" s="92"/>
      <c r="H140" s="93"/>
    </row>
    <row r="141" spans="1:8" ht="23.25">
      <c r="A141" s="75"/>
      <c r="B141" s="149"/>
      <c r="C141" s="90"/>
      <c r="D141" s="150" t="s">
        <v>171</v>
      </c>
      <c r="E141" s="92"/>
      <c r="F141" s="92"/>
      <c r="G141" s="92"/>
      <c r="H141" s="93"/>
    </row>
    <row r="142" spans="1:8" ht="31.5">
      <c r="A142" s="36" t="s">
        <v>3</v>
      </c>
      <c r="B142" s="37"/>
      <c r="C142" s="38" t="s">
        <v>5</v>
      </c>
      <c r="D142" s="39" t="s">
        <v>6</v>
      </c>
      <c r="E142" s="40" t="s">
        <v>7</v>
      </c>
      <c r="F142" s="41" t="s">
        <v>8</v>
      </c>
      <c r="G142" s="41" t="s">
        <v>9</v>
      </c>
      <c r="H142" s="42" t="s">
        <v>63</v>
      </c>
    </row>
    <row r="143" spans="1:8" ht="15.75">
      <c r="A143" s="21"/>
      <c r="B143" s="43"/>
      <c r="C143" s="44"/>
      <c r="D143" s="45" t="s">
        <v>11</v>
      </c>
      <c r="E143" s="46" t="s">
        <v>64</v>
      </c>
      <c r="F143" s="46" t="s">
        <v>65</v>
      </c>
      <c r="G143" s="46" t="s">
        <v>66</v>
      </c>
      <c r="H143" s="47" t="s">
        <v>15</v>
      </c>
    </row>
    <row r="144" spans="1:8" ht="20.25">
      <c r="A144" s="21">
        <v>1</v>
      </c>
      <c r="B144" s="147" t="s">
        <v>90</v>
      </c>
      <c r="C144" s="54">
        <v>2</v>
      </c>
      <c r="D144" s="58">
        <v>42.75</v>
      </c>
      <c r="E144" s="56">
        <v>0.067</v>
      </c>
      <c r="F144" s="56">
        <v>0.01</v>
      </c>
      <c r="G144" s="56">
        <v>1</v>
      </c>
      <c r="H144" s="57">
        <v>5</v>
      </c>
    </row>
    <row r="145" spans="1:8" ht="20.25">
      <c r="A145" s="21">
        <v>2</v>
      </c>
      <c r="B145" s="147" t="s">
        <v>89</v>
      </c>
      <c r="C145" s="54">
        <v>2</v>
      </c>
      <c r="D145" s="58">
        <v>10</v>
      </c>
      <c r="E145" s="56">
        <v>0.5</v>
      </c>
      <c r="F145" s="56">
        <v>0.75</v>
      </c>
      <c r="G145" s="56">
        <v>7</v>
      </c>
      <c r="H145" s="57">
        <v>23</v>
      </c>
    </row>
    <row r="146" spans="1:8" s="136" customFormat="1" ht="20.25">
      <c r="A146" s="21">
        <v>3</v>
      </c>
      <c r="B146" s="147" t="s">
        <v>87</v>
      </c>
      <c r="C146" s="54">
        <v>23</v>
      </c>
      <c r="D146" s="58">
        <v>1438.55</v>
      </c>
      <c r="E146" s="56">
        <v>636.944</v>
      </c>
      <c r="F146" s="56">
        <v>127.39</v>
      </c>
      <c r="G146" s="56">
        <v>12739</v>
      </c>
      <c r="H146" s="57">
        <v>577</v>
      </c>
    </row>
    <row r="147" spans="1:8" ht="20.25">
      <c r="A147" s="21">
        <v>4</v>
      </c>
      <c r="B147" s="147" t="s">
        <v>79</v>
      </c>
      <c r="C147" s="54">
        <v>0</v>
      </c>
      <c r="D147" s="58">
        <v>0</v>
      </c>
      <c r="E147" s="56">
        <v>0</v>
      </c>
      <c r="F147" s="56">
        <v>0</v>
      </c>
      <c r="G147" s="56">
        <v>35</v>
      </c>
      <c r="H147" s="57">
        <v>0</v>
      </c>
    </row>
    <row r="148" spans="1:8" ht="18.75">
      <c r="A148" s="87"/>
      <c r="B148" s="148" t="s">
        <v>143</v>
      </c>
      <c r="C148" s="13">
        <f aca="true" t="shared" si="13" ref="C148:H148">SUM(C144:C147)</f>
        <v>27</v>
      </c>
      <c r="D148" s="13">
        <f t="shared" si="13"/>
        <v>1491.3</v>
      </c>
      <c r="E148" s="15">
        <f t="shared" si="13"/>
        <v>637.511</v>
      </c>
      <c r="F148" s="15">
        <f t="shared" si="13"/>
        <v>128.15</v>
      </c>
      <c r="G148" s="15">
        <f t="shared" si="13"/>
        <v>12782</v>
      </c>
      <c r="H148" s="13">
        <f t="shared" si="13"/>
        <v>605</v>
      </c>
    </row>
    <row r="149" spans="1:8" ht="20.25">
      <c r="A149" s="75"/>
      <c r="B149" s="149"/>
      <c r="C149" s="90"/>
      <c r="D149" s="91"/>
      <c r="E149" s="92"/>
      <c r="F149" s="92"/>
      <c r="G149" s="92"/>
      <c r="H149" s="93"/>
    </row>
    <row r="150" spans="1:8" ht="23.25">
      <c r="A150" s="75"/>
      <c r="B150" s="149"/>
      <c r="C150" s="90"/>
      <c r="D150" s="150" t="s">
        <v>149</v>
      </c>
      <c r="E150" s="92"/>
      <c r="F150" s="92"/>
      <c r="G150" s="92"/>
      <c r="H150" s="93"/>
    </row>
    <row r="151" spans="1:8" ht="31.5">
      <c r="A151" s="36" t="s">
        <v>3</v>
      </c>
      <c r="B151" s="37"/>
      <c r="C151" s="38" t="s">
        <v>5</v>
      </c>
      <c r="D151" s="39" t="s">
        <v>6</v>
      </c>
      <c r="E151" s="40" t="s">
        <v>7</v>
      </c>
      <c r="F151" s="41" t="s">
        <v>8</v>
      </c>
      <c r="G151" s="41" t="s">
        <v>9</v>
      </c>
      <c r="H151" s="42" t="s">
        <v>63</v>
      </c>
    </row>
    <row r="152" spans="1:8" ht="15.75">
      <c r="A152" s="21"/>
      <c r="B152" s="43"/>
      <c r="C152" s="44"/>
      <c r="D152" s="45" t="s">
        <v>11</v>
      </c>
      <c r="E152" s="46" t="s">
        <v>64</v>
      </c>
      <c r="F152" s="46" t="s">
        <v>65</v>
      </c>
      <c r="G152" s="46" t="s">
        <v>66</v>
      </c>
      <c r="H152" s="47" t="s">
        <v>15</v>
      </c>
    </row>
    <row r="153" spans="1:8" ht="20.25">
      <c r="A153" s="21">
        <v>1</v>
      </c>
      <c r="B153" s="147" t="s">
        <v>67</v>
      </c>
      <c r="C153" s="54">
        <v>1</v>
      </c>
      <c r="D153" s="58">
        <v>1200</v>
      </c>
      <c r="E153" s="56">
        <v>3748.04</v>
      </c>
      <c r="F153" s="56">
        <v>11539.3</v>
      </c>
      <c r="G153" s="56">
        <f>5224799.427</f>
        <v>5224799.427</v>
      </c>
      <c r="H153" s="57">
        <v>1119</v>
      </c>
    </row>
    <row r="154" spans="1:8" ht="20.25">
      <c r="A154" s="21">
        <v>2</v>
      </c>
      <c r="B154" s="147" t="s">
        <v>123</v>
      </c>
      <c r="C154" s="54">
        <v>0</v>
      </c>
      <c r="D154" s="58">
        <v>0</v>
      </c>
      <c r="E154" s="56">
        <v>60410</v>
      </c>
      <c r="F154" s="56">
        <f>9946.203-79.7</f>
        <v>9866.502999999999</v>
      </c>
      <c r="G154" s="56">
        <v>0</v>
      </c>
      <c r="H154" s="57">
        <v>0</v>
      </c>
    </row>
    <row r="155" spans="1:8" ht="20.25">
      <c r="A155" s="21">
        <v>3</v>
      </c>
      <c r="B155" s="147" t="s">
        <v>107</v>
      </c>
      <c r="C155" s="54">
        <v>0</v>
      </c>
      <c r="D155" s="58">
        <v>0</v>
      </c>
      <c r="E155" s="56">
        <v>0.347</v>
      </c>
      <c r="F155" s="56">
        <v>642.246</v>
      </c>
      <c r="G155" s="56">
        <v>0</v>
      </c>
      <c r="H155" s="57">
        <v>0</v>
      </c>
    </row>
    <row r="156" spans="1:8" ht="20.25">
      <c r="A156" s="21">
        <v>4</v>
      </c>
      <c r="B156" s="147" t="s">
        <v>83</v>
      </c>
      <c r="C156" s="54">
        <v>3</v>
      </c>
      <c r="D156" s="58">
        <v>56</v>
      </c>
      <c r="E156" s="56">
        <v>0</v>
      </c>
      <c r="F156" s="56">
        <v>0</v>
      </c>
      <c r="G156" s="56">
        <v>36</v>
      </c>
      <c r="H156" s="57">
        <v>6</v>
      </c>
    </row>
    <row r="157" spans="1:8" ht="20.25">
      <c r="A157" s="21">
        <v>5</v>
      </c>
      <c r="B157" s="147" t="s">
        <v>82</v>
      </c>
      <c r="C157" s="54">
        <v>17</v>
      </c>
      <c r="D157" s="58">
        <v>537.35</v>
      </c>
      <c r="E157" s="56">
        <v>38.871</v>
      </c>
      <c r="F157" s="56">
        <v>58.306</v>
      </c>
      <c r="G157" s="56">
        <v>6031.135</v>
      </c>
      <c r="H157" s="57">
        <v>53</v>
      </c>
    </row>
    <row r="158" spans="1:8" ht="20.25">
      <c r="A158" s="21">
        <v>6</v>
      </c>
      <c r="B158" s="147" t="s">
        <v>70</v>
      </c>
      <c r="C158" s="54">
        <v>223</v>
      </c>
      <c r="D158" s="58">
        <v>1659.819</v>
      </c>
      <c r="E158" s="56">
        <v>61.442</v>
      </c>
      <c r="F158" s="56">
        <v>122.88</v>
      </c>
      <c r="G158" s="56">
        <v>10919.71</v>
      </c>
      <c r="H158" s="57">
        <v>497</v>
      </c>
    </row>
    <row r="159" spans="1:8" ht="20.25">
      <c r="A159" s="21">
        <v>7</v>
      </c>
      <c r="B159" s="147" t="s">
        <v>71</v>
      </c>
      <c r="C159" s="54">
        <v>1</v>
      </c>
      <c r="D159" s="58">
        <v>5</v>
      </c>
      <c r="E159" s="56">
        <v>0</v>
      </c>
      <c r="F159" s="56">
        <v>0</v>
      </c>
      <c r="G159" s="56">
        <v>14.083</v>
      </c>
      <c r="H159" s="57">
        <v>0</v>
      </c>
    </row>
    <row r="160" spans="1:8" ht="20.25">
      <c r="A160" s="21">
        <v>8</v>
      </c>
      <c r="B160" s="147" t="s">
        <v>104</v>
      </c>
      <c r="C160" s="54">
        <v>2</v>
      </c>
      <c r="D160" s="58">
        <v>10</v>
      </c>
      <c r="E160" s="56">
        <v>0</v>
      </c>
      <c r="F160" s="56">
        <v>0</v>
      </c>
      <c r="G160" s="56">
        <v>36</v>
      </c>
      <c r="H160" s="57">
        <v>0</v>
      </c>
    </row>
    <row r="161" spans="1:8" ht="20.25">
      <c r="A161" s="21">
        <v>9</v>
      </c>
      <c r="B161" s="147" t="s">
        <v>181</v>
      </c>
      <c r="C161" s="54">
        <v>5</v>
      </c>
      <c r="D161" s="58">
        <v>257.63</v>
      </c>
      <c r="E161" s="56">
        <v>373</v>
      </c>
      <c r="F161" s="56">
        <v>5.59</v>
      </c>
      <c r="G161" s="56">
        <v>155.849</v>
      </c>
      <c r="H161" s="57">
        <v>40</v>
      </c>
    </row>
    <row r="162" spans="1:8" s="136" customFormat="1" ht="20.25">
      <c r="A162" s="21">
        <v>10</v>
      </c>
      <c r="B162" s="147" t="s">
        <v>89</v>
      </c>
      <c r="C162" s="54">
        <v>3</v>
      </c>
      <c r="D162" s="58">
        <v>14</v>
      </c>
      <c r="E162" s="56">
        <v>10.153</v>
      </c>
      <c r="F162" s="56">
        <v>6.09</v>
      </c>
      <c r="G162" s="56">
        <v>133.37</v>
      </c>
      <c r="H162" s="57">
        <v>8</v>
      </c>
    </row>
    <row r="163" spans="1:8" ht="20.25">
      <c r="A163" s="21">
        <v>11</v>
      </c>
      <c r="B163" s="147" t="s">
        <v>86</v>
      </c>
      <c r="C163" s="54">
        <v>0</v>
      </c>
      <c r="D163" s="58">
        <v>0</v>
      </c>
      <c r="E163" s="56">
        <v>0</v>
      </c>
      <c r="F163" s="56">
        <v>0</v>
      </c>
      <c r="G163" s="56">
        <v>35.628</v>
      </c>
      <c r="H163" s="57">
        <v>0</v>
      </c>
    </row>
    <row r="164" spans="1:8" ht="20.25">
      <c r="A164" s="21">
        <v>12</v>
      </c>
      <c r="B164" s="147" t="s">
        <v>75</v>
      </c>
      <c r="C164" s="54">
        <v>0</v>
      </c>
      <c r="D164" s="58">
        <v>0</v>
      </c>
      <c r="E164" s="56">
        <v>37.713</v>
      </c>
      <c r="F164" s="56">
        <v>56.57</v>
      </c>
      <c r="G164" s="56">
        <v>0</v>
      </c>
      <c r="H164" s="57">
        <v>0</v>
      </c>
    </row>
    <row r="165" spans="1:8" ht="20.25">
      <c r="A165" s="21">
        <v>13</v>
      </c>
      <c r="B165" s="147" t="s">
        <v>87</v>
      </c>
      <c r="C165" s="54">
        <v>1</v>
      </c>
      <c r="D165" s="58">
        <v>5</v>
      </c>
      <c r="E165" s="56">
        <v>0</v>
      </c>
      <c r="F165" s="56">
        <v>0</v>
      </c>
      <c r="G165" s="56">
        <v>0</v>
      </c>
      <c r="H165" s="57">
        <v>0</v>
      </c>
    </row>
    <row r="166" spans="1:8" ht="20.25">
      <c r="A166" s="21">
        <v>14</v>
      </c>
      <c r="B166" s="147" t="s">
        <v>76</v>
      </c>
      <c r="C166" s="54">
        <v>23</v>
      </c>
      <c r="D166" s="58">
        <v>2239.55</v>
      </c>
      <c r="E166" s="56">
        <v>222.884</v>
      </c>
      <c r="F166" s="56">
        <v>445.768</v>
      </c>
      <c r="G166" s="56">
        <v>22928.279</v>
      </c>
      <c r="H166" s="57">
        <v>475</v>
      </c>
    </row>
    <row r="167" spans="1:8" ht="18.75">
      <c r="A167" s="87"/>
      <c r="B167" s="148" t="s">
        <v>143</v>
      </c>
      <c r="C167" s="13">
        <f>SUM(C153:C166)</f>
        <v>279</v>
      </c>
      <c r="D167" s="13">
        <f>SUM(D153:D166)</f>
        <v>5984.349</v>
      </c>
      <c r="E167" s="13">
        <v>4119.884</v>
      </c>
      <c r="F167" s="13">
        <f>SUM(F153:F166)</f>
        <v>22743.253</v>
      </c>
      <c r="G167" s="13">
        <f>SUM(G153:G166)</f>
        <v>5265089.481</v>
      </c>
      <c r="H167" s="13">
        <f>SUM(H153:H166)</f>
        <v>2198</v>
      </c>
    </row>
    <row r="168" spans="1:8" ht="20.25">
      <c r="A168" s="75"/>
      <c r="B168" s="149"/>
      <c r="C168" s="90"/>
      <c r="D168" s="91"/>
      <c r="E168" s="92"/>
      <c r="F168" s="92"/>
      <c r="G168" s="92"/>
      <c r="H168" s="93"/>
    </row>
    <row r="169" spans="1:8" ht="23.25">
      <c r="A169" s="75"/>
      <c r="B169" s="149"/>
      <c r="C169" s="90"/>
      <c r="D169" s="150" t="s">
        <v>162</v>
      </c>
      <c r="E169" s="92"/>
      <c r="F169" s="92"/>
      <c r="G169" s="92"/>
      <c r="H169" s="93"/>
    </row>
    <row r="170" spans="1:8" ht="31.5">
      <c r="A170" s="36" t="s">
        <v>3</v>
      </c>
      <c r="B170" s="37"/>
      <c r="C170" s="38" t="s">
        <v>5</v>
      </c>
      <c r="D170" s="39" t="s">
        <v>6</v>
      </c>
      <c r="E170" s="40" t="s">
        <v>7</v>
      </c>
      <c r="F170" s="41" t="s">
        <v>8</v>
      </c>
      <c r="G170" s="41" t="s">
        <v>9</v>
      </c>
      <c r="H170" s="42" t="s">
        <v>63</v>
      </c>
    </row>
    <row r="171" spans="1:8" ht="15.75">
      <c r="A171" s="21"/>
      <c r="B171" s="43"/>
      <c r="C171" s="44"/>
      <c r="D171" s="45" t="s">
        <v>11</v>
      </c>
      <c r="E171" s="46" t="s">
        <v>64</v>
      </c>
      <c r="F171" s="46" t="s">
        <v>65</v>
      </c>
      <c r="G171" s="46" t="s">
        <v>66</v>
      </c>
      <c r="H171" s="47" t="s">
        <v>15</v>
      </c>
    </row>
    <row r="172" spans="1:8" ht="20.25">
      <c r="A172" s="137">
        <v>1</v>
      </c>
      <c r="B172" s="153" t="s">
        <v>82</v>
      </c>
      <c r="C172" s="54">
        <v>1</v>
      </c>
      <c r="D172" s="58">
        <v>5</v>
      </c>
      <c r="E172" s="56">
        <v>0</v>
      </c>
      <c r="F172" s="56">
        <v>0</v>
      </c>
      <c r="G172" s="56">
        <v>65.28</v>
      </c>
      <c r="H172" s="57">
        <v>5</v>
      </c>
    </row>
    <row r="173" spans="1:8" ht="20.25">
      <c r="A173" s="21">
        <v>2</v>
      </c>
      <c r="B173" s="153" t="s">
        <v>89</v>
      </c>
      <c r="C173" s="54">
        <v>1</v>
      </c>
      <c r="D173" s="58">
        <v>5</v>
      </c>
      <c r="E173" s="56">
        <v>4.22</v>
      </c>
      <c r="F173" s="56">
        <v>4.22</v>
      </c>
      <c r="G173" s="56">
        <v>75.531</v>
      </c>
      <c r="H173" s="57">
        <v>5</v>
      </c>
    </row>
    <row r="174" spans="1:8" ht="20.25">
      <c r="A174" s="21">
        <v>3</v>
      </c>
      <c r="B174" s="153" t="s">
        <v>76</v>
      </c>
      <c r="C174" s="54">
        <v>4</v>
      </c>
      <c r="D174" s="58">
        <v>277.03</v>
      </c>
      <c r="E174" s="56">
        <v>2.36</v>
      </c>
      <c r="F174" s="56">
        <v>4.72</v>
      </c>
      <c r="G174" s="56">
        <v>256.042</v>
      </c>
      <c r="H174" s="57">
        <v>30</v>
      </c>
    </row>
    <row r="175" spans="1:8" ht="20.25">
      <c r="A175" s="21">
        <v>4</v>
      </c>
      <c r="B175" s="153" t="s">
        <v>79</v>
      </c>
      <c r="C175" s="54">
        <v>0</v>
      </c>
      <c r="D175" s="58">
        <v>0</v>
      </c>
      <c r="E175" s="56">
        <v>0</v>
      </c>
      <c r="F175" s="56">
        <v>0</v>
      </c>
      <c r="G175" s="56">
        <v>11.55</v>
      </c>
      <c r="H175" s="57">
        <v>0</v>
      </c>
    </row>
    <row r="176" spans="1:8" ht="18.75">
      <c r="A176" s="87"/>
      <c r="B176" s="148" t="s">
        <v>143</v>
      </c>
      <c r="C176" s="13">
        <f aca="true" t="shared" si="14" ref="C176:H176">SUM(C172:C175)</f>
        <v>6</v>
      </c>
      <c r="D176" s="13">
        <f t="shared" si="14"/>
        <v>287.03</v>
      </c>
      <c r="E176" s="15">
        <f t="shared" si="14"/>
        <v>6.58</v>
      </c>
      <c r="F176" s="15">
        <f t="shared" si="14"/>
        <v>8.94</v>
      </c>
      <c r="G176" s="15">
        <f t="shared" si="14"/>
        <v>408.40299999999996</v>
      </c>
      <c r="H176" s="13">
        <f t="shared" si="14"/>
        <v>40</v>
      </c>
    </row>
    <row r="177" spans="1:8" ht="20.25">
      <c r="A177" s="75"/>
      <c r="B177" s="149"/>
      <c r="C177" s="90"/>
      <c r="D177" s="91"/>
      <c r="E177" s="92"/>
      <c r="F177" s="92"/>
      <c r="G177" s="92"/>
      <c r="H177" s="93"/>
    </row>
    <row r="178" spans="1:8" ht="23.25">
      <c r="A178" s="75"/>
      <c r="B178" s="149"/>
      <c r="C178" s="90"/>
      <c r="D178" s="150" t="s">
        <v>155</v>
      </c>
      <c r="E178" s="92"/>
      <c r="F178" s="92"/>
      <c r="G178" s="92"/>
      <c r="H178" s="93"/>
    </row>
    <row r="179" spans="1:8" ht="31.5">
      <c r="A179" s="36" t="s">
        <v>3</v>
      </c>
      <c r="B179" s="37"/>
      <c r="C179" s="38" t="s">
        <v>5</v>
      </c>
      <c r="D179" s="39" t="s">
        <v>6</v>
      </c>
      <c r="E179" s="40" t="s">
        <v>7</v>
      </c>
      <c r="F179" s="41" t="s">
        <v>8</v>
      </c>
      <c r="G179" s="41" t="s">
        <v>9</v>
      </c>
      <c r="H179" s="42" t="s">
        <v>63</v>
      </c>
    </row>
    <row r="180" spans="1:8" ht="15.75">
      <c r="A180" s="21"/>
      <c r="B180" s="43"/>
      <c r="C180" s="44"/>
      <c r="D180" s="45" t="s">
        <v>11</v>
      </c>
      <c r="E180" s="46" t="s">
        <v>64</v>
      </c>
      <c r="F180" s="46" t="s">
        <v>65</v>
      </c>
      <c r="G180" s="46" t="s">
        <v>66</v>
      </c>
      <c r="H180" s="47" t="s">
        <v>15</v>
      </c>
    </row>
    <row r="181" spans="1:8" ht="20.25">
      <c r="A181" s="21">
        <v>1</v>
      </c>
      <c r="B181" s="153" t="s">
        <v>100</v>
      </c>
      <c r="C181" s="54">
        <v>74</v>
      </c>
      <c r="D181" s="58">
        <v>5272.41</v>
      </c>
      <c r="E181" s="56">
        <v>584.5</v>
      </c>
      <c r="F181" s="56">
        <v>1753</v>
      </c>
      <c r="G181" s="56">
        <v>17562.322</v>
      </c>
      <c r="H181" s="57">
        <v>250</v>
      </c>
    </row>
    <row r="182" spans="1:8" ht="20.25">
      <c r="A182" s="21">
        <v>2</v>
      </c>
      <c r="B182" s="153" t="s">
        <v>101</v>
      </c>
      <c r="C182" s="54">
        <v>9</v>
      </c>
      <c r="D182" s="58">
        <v>3009.92</v>
      </c>
      <c r="E182" s="56">
        <v>2171.245</v>
      </c>
      <c r="F182" s="56">
        <v>7599.357</v>
      </c>
      <c r="G182" s="56">
        <v>91162.314</v>
      </c>
      <c r="H182" s="57">
        <v>650</v>
      </c>
    </row>
    <row r="183" spans="1:8" ht="20.25">
      <c r="A183" s="137">
        <v>3</v>
      </c>
      <c r="B183" s="153" t="s">
        <v>98</v>
      </c>
      <c r="C183" s="54">
        <v>2</v>
      </c>
      <c r="D183" s="58">
        <v>1771.19</v>
      </c>
      <c r="E183" s="56">
        <v>0</v>
      </c>
      <c r="F183" s="56">
        <v>0</v>
      </c>
      <c r="G183" s="56">
        <v>107.6</v>
      </c>
      <c r="H183" s="57">
        <v>0</v>
      </c>
    </row>
    <row r="184" spans="1:8" ht="20.25">
      <c r="A184" s="21">
        <v>4</v>
      </c>
      <c r="B184" s="153" t="s">
        <v>96</v>
      </c>
      <c r="C184" s="54">
        <v>1</v>
      </c>
      <c r="D184" s="58">
        <v>531</v>
      </c>
      <c r="E184" s="56">
        <v>0</v>
      </c>
      <c r="F184" s="56">
        <v>0</v>
      </c>
      <c r="G184" s="56">
        <v>207.2</v>
      </c>
      <c r="H184" s="57">
        <v>0</v>
      </c>
    </row>
    <row r="185" spans="1:8" ht="18.75">
      <c r="A185" s="87"/>
      <c r="B185" s="148" t="s">
        <v>143</v>
      </c>
      <c r="C185" s="13">
        <f aca="true" t="shared" si="15" ref="C185:H185">SUM(C181:C184)</f>
        <v>86</v>
      </c>
      <c r="D185" s="13">
        <f t="shared" si="15"/>
        <v>10584.52</v>
      </c>
      <c r="E185" s="15">
        <f t="shared" si="15"/>
        <v>2755.745</v>
      </c>
      <c r="F185" s="15">
        <f t="shared" si="15"/>
        <v>9352.357</v>
      </c>
      <c r="G185" s="15">
        <f t="shared" si="15"/>
        <v>109039.436</v>
      </c>
      <c r="H185" s="13">
        <f t="shared" si="15"/>
        <v>900</v>
      </c>
    </row>
    <row r="186" spans="1:8" ht="20.25">
      <c r="A186" s="75"/>
      <c r="B186" s="149"/>
      <c r="C186" s="90"/>
      <c r="D186" s="91"/>
      <c r="E186" s="92"/>
      <c r="F186" s="92"/>
      <c r="G186" s="92"/>
      <c r="H186" s="93"/>
    </row>
    <row r="187" spans="1:8" ht="23.25">
      <c r="A187" s="75"/>
      <c r="B187" s="149"/>
      <c r="C187" s="90"/>
      <c r="D187" s="150" t="s">
        <v>163</v>
      </c>
      <c r="E187" s="92"/>
      <c r="F187" s="92"/>
      <c r="G187" s="92"/>
      <c r="H187" s="93"/>
    </row>
    <row r="188" spans="1:8" ht="31.5">
      <c r="A188" s="36" t="s">
        <v>3</v>
      </c>
      <c r="B188" s="37"/>
      <c r="C188" s="38" t="s">
        <v>5</v>
      </c>
      <c r="D188" s="39" t="s">
        <v>6</v>
      </c>
      <c r="E188" s="40" t="s">
        <v>7</v>
      </c>
      <c r="F188" s="41" t="s">
        <v>8</v>
      </c>
      <c r="G188" s="41" t="s">
        <v>9</v>
      </c>
      <c r="H188" s="42" t="s">
        <v>63</v>
      </c>
    </row>
    <row r="189" spans="1:8" ht="15.75">
      <c r="A189" s="21"/>
      <c r="B189" s="43"/>
      <c r="C189" s="44"/>
      <c r="D189" s="45" t="s">
        <v>11</v>
      </c>
      <c r="E189" s="46" t="s">
        <v>64</v>
      </c>
      <c r="F189" s="46" t="s">
        <v>65</v>
      </c>
      <c r="G189" s="46" t="s">
        <v>66</v>
      </c>
      <c r="H189" s="47" t="s">
        <v>15</v>
      </c>
    </row>
    <row r="190" spans="1:8" ht="20.25">
      <c r="A190" s="21">
        <v>1</v>
      </c>
      <c r="B190" s="153" t="s">
        <v>82</v>
      </c>
      <c r="C190" s="54">
        <v>1</v>
      </c>
      <c r="D190" s="58">
        <v>61</v>
      </c>
      <c r="E190" s="56">
        <v>0.037</v>
      </c>
      <c r="F190" s="56">
        <v>0.046</v>
      </c>
      <c r="G190" s="56">
        <v>12.2</v>
      </c>
      <c r="H190" s="57">
        <v>4</v>
      </c>
    </row>
    <row r="191" spans="1:8" ht="20.25">
      <c r="A191" s="137">
        <v>2</v>
      </c>
      <c r="B191" s="153" t="s">
        <v>89</v>
      </c>
      <c r="C191" s="54">
        <v>0</v>
      </c>
      <c r="D191" s="58">
        <v>0</v>
      </c>
      <c r="E191" s="56">
        <v>0</v>
      </c>
      <c r="F191" s="56">
        <v>0</v>
      </c>
      <c r="G191" s="56">
        <v>2</v>
      </c>
      <c r="H191" s="57">
        <v>0</v>
      </c>
    </row>
    <row r="192" spans="1:8" ht="20.25">
      <c r="A192" s="21">
        <v>3</v>
      </c>
      <c r="B192" s="153" t="s">
        <v>87</v>
      </c>
      <c r="C192" s="54">
        <v>2</v>
      </c>
      <c r="D192" s="58">
        <v>357</v>
      </c>
      <c r="E192" s="56">
        <v>58.948</v>
      </c>
      <c r="F192" s="56">
        <v>206.31</v>
      </c>
      <c r="G192" s="56">
        <v>890.629</v>
      </c>
      <c r="H192" s="57">
        <v>128</v>
      </c>
    </row>
    <row r="193" spans="1:8" ht="18.75">
      <c r="A193" s="87"/>
      <c r="B193" s="148" t="s">
        <v>143</v>
      </c>
      <c r="C193" s="13">
        <f aca="true" t="shared" si="16" ref="C193:H193">SUM(C189:C192)</f>
        <v>3</v>
      </c>
      <c r="D193" s="13">
        <f t="shared" si="16"/>
        <v>418</v>
      </c>
      <c r="E193" s="15">
        <f t="shared" si="16"/>
        <v>58.985</v>
      </c>
      <c r="F193" s="15">
        <f t="shared" si="16"/>
        <v>206.356</v>
      </c>
      <c r="G193" s="15">
        <f t="shared" si="16"/>
        <v>904.8290000000001</v>
      </c>
      <c r="H193" s="13">
        <f t="shared" si="16"/>
        <v>132</v>
      </c>
    </row>
    <row r="194" spans="1:8" ht="20.25">
      <c r="A194" s="75"/>
      <c r="B194" s="149"/>
      <c r="C194" s="90"/>
      <c r="D194" s="91"/>
      <c r="E194" s="92"/>
      <c r="F194" s="92"/>
      <c r="G194" s="92"/>
      <c r="H194" s="93"/>
    </row>
    <row r="195" spans="1:8" ht="23.25">
      <c r="A195" s="75"/>
      <c r="B195" s="149"/>
      <c r="C195" s="90"/>
      <c r="D195" s="150" t="s">
        <v>164</v>
      </c>
      <c r="E195" s="92"/>
      <c r="F195" s="92"/>
      <c r="G195" s="92"/>
      <c r="H195" s="93"/>
    </row>
    <row r="196" spans="1:8" ht="31.5">
      <c r="A196" s="36" t="s">
        <v>3</v>
      </c>
      <c r="B196" s="37"/>
      <c r="C196" s="38" t="s">
        <v>5</v>
      </c>
      <c r="D196" s="39" t="s">
        <v>6</v>
      </c>
      <c r="E196" s="40" t="s">
        <v>7</v>
      </c>
      <c r="F196" s="41" t="s">
        <v>8</v>
      </c>
      <c r="G196" s="41" t="s">
        <v>9</v>
      </c>
      <c r="H196" s="42" t="s">
        <v>63</v>
      </c>
    </row>
    <row r="197" spans="1:8" ht="15.75">
      <c r="A197" s="21"/>
      <c r="B197" s="43"/>
      <c r="C197" s="44"/>
      <c r="D197" s="45" t="s">
        <v>11</v>
      </c>
      <c r="E197" s="46" t="s">
        <v>64</v>
      </c>
      <c r="F197" s="46" t="s">
        <v>65</v>
      </c>
      <c r="G197" s="46" t="s">
        <v>66</v>
      </c>
      <c r="H197" s="47" t="s">
        <v>15</v>
      </c>
    </row>
    <row r="198" spans="1:8" ht="20.25">
      <c r="A198" s="137">
        <v>1</v>
      </c>
      <c r="B198" s="147" t="s">
        <v>82</v>
      </c>
      <c r="C198" s="54">
        <v>7</v>
      </c>
      <c r="D198" s="58">
        <f>740.186-430.91</f>
        <v>309.276</v>
      </c>
      <c r="E198" s="56">
        <v>213.661</v>
      </c>
      <c r="F198" s="56">
        <v>256.393</v>
      </c>
      <c r="G198" s="56">
        <v>4914.201</v>
      </c>
      <c r="H198" s="57">
        <v>170</v>
      </c>
    </row>
    <row r="199" spans="1:8" s="136" customFormat="1" ht="20.25">
      <c r="A199" s="21">
        <v>2</v>
      </c>
      <c r="B199" s="147" t="s">
        <v>70</v>
      </c>
      <c r="C199" s="54">
        <v>4</v>
      </c>
      <c r="D199" s="58">
        <v>16.11</v>
      </c>
      <c r="E199" s="56">
        <v>0.175</v>
      </c>
      <c r="F199" s="56">
        <v>0.35</v>
      </c>
      <c r="G199" s="56">
        <v>3.5</v>
      </c>
      <c r="H199" s="57">
        <v>25</v>
      </c>
    </row>
    <row r="200" spans="1:8" ht="20.25">
      <c r="A200" s="137">
        <v>3</v>
      </c>
      <c r="B200" s="147" t="s">
        <v>72</v>
      </c>
      <c r="C200" s="54">
        <v>2</v>
      </c>
      <c r="D200" s="58">
        <v>1359.67</v>
      </c>
      <c r="E200" s="56">
        <v>4575.621</v>
      </c>
      <c r="F200" s="56">
        <v>4878.84</v>
      </c>
      <c r="G200" s="56">
        <v>231102.97</v>
      </c>
      <c r="H200" s="57">
        <v>160</v>
      </c>
    </row>
    <row r="201" spans="1:8" ht="23.25" customHeight="1">
      <c r="A201" s="21">
        <v>4</v>
      </c>
      <c r="B201" s="147" t="s">
        <v>89</v>
      </c>
      <c r="C201" s="54">
        <v>12</v>
      </c>
      <c r="D201" s="58">
        <v>430.91</v>
      </c>
      <c r="E201" s="56">
        <v>917.669</v>
      </c>
      <c r="F201" s="56">
        <v>642.368</v>
      </c>
      <c r="G201" s="56">
        <v>13765.042</v>
      </c>
      <c r="H201" s="57">
        <v>1150</v>
      </c>
    </row>
    <row r="202" spans="1:8" ht="23.25" customHeight="1">
      <c r="A202" s="137">
        <v>5</v>
      </c>
      <c r="B202" s="147" t="s">
        <v>75</v>
      </c>
      <c r="C202" s="54">
        <v>4</v>
      </c>
      <c r="D202" s="58">
        <v>16.107</v>
      </c>
      <c r="E202" s="56">
        <v>6.715</v>
      </c>
      <c r="F202" s="56">
        <v>26.86</v>
      </c>
      <c r="G202" s="56">
        <v>134.318</v>
      </c>
      <c r="H202" s="57">
        <v>25</v>
      </c>
    </row>
    <row r="203" spans="1:8" ht="23.25" customHeight="1">
      <c r="A203" s="21">
        <v>6</v>
      </c>
      <c r="B203" s="147" t="s">
        <v>87</v>
      </c>
      <c r="C203" s="54">
        <v>0</v>
      </c>
      <c r="D203" s="58">
        <v>0</v>
      </c>
      <c r="E203" s="56">
        <v>3.712</v>
      </c>
      <c r="F203" s="56">
        <v>3.712</v>
      </c>
      <c r="G203" s="56">
        <v>74.25</v>
      </c>
      <c r="H203" s="57">
        <v>18</v>
      </c>
    </row>
    <row r="204" spans="1:8" ht="23.25" customHeight="1">
      <c r="A204" s="87"/>
      <c r="B204" s="148" t="s">
        <v>143</v>
      </c>
      <c r="C204" s="13">
        <f aca="true" t="shared" si="17" ref="C204:H204">SUM(C198:C203)</f>
        <v>29</v>
      </c>
      <c r="D204" s="13">
        <f t="shared" si="17"/>
        <v>2132.073</v>
      </c>
      <c r="E204" s="13">
        <f t="shared" si="17"/>
        <v>5717.553000000001</v>
      </c>
      <c r="F204" s="13">
        <f t="shared" si="17"/>
        <v>5808.523000000001</v>
      </c>
      <c r="G204" s="13">
        <f t="shared" si="17"/>
        <v>249994.281</v>
      </c>
      <c r="H204" s="13">
        <f t="shared" si="17"/>
        <v>1548</v>
      </c>
    </row>
    <row r="205" spans="1:8" ht="23.25" customHeight="1">
      <c r="A205" s="75"/>
      <c r="B205" s="149"/>
      <c r="C205" s="90"/>
      <c r="D205" s="91"/>
      <c r="E205" s="92"/>
      <c r="F205" s="92"/>
      <c r="G205" s="92"/>
      <c r="H205" s="93"/>
    </row>
    <row r="206" spans="1:8" ht="23.25" customHeight="1">
      <c r="A206" s="75"/>
      <c r="B206" s="149"/>
      <c r="C206" s="90"/>
      <c r="D206" s="150" t="s">
        <v>146</v>
      </c>
      <c r="E206" s="92"/>
      <c r="F206" s="92"/>
      <c r="G206" s="92"/>
      <c r="H206" s="93"/>
    </row>
    <row r="207" spans="1:8" ht="23.25" customHeight="1">
      <c r="A207" s="36" t="s">
        <v>3</v>
      </c>
      <c r="B207" s="37"/>
      <c r="C207" s="38" t="s">
        <v>5</v>
      </c>
      <c r="D207" s="39" t="s">
        <v>6</v>
      </c>
      <c r="E207" s="40" t="s">
        <v>7</v>
      </c>
      <c r="F207" s="41" t="s">
        <v>8</v>
      </c>
      <c r="G207" s="41" t="s">
        <v>9</v>
      </c>
      <c r="H207" s="42" t="s">
        <v>63</v>
      </c>
    </row>
    <row r="208" spans="1:8" ht="23.25" customHeight="1">
      <c r="A208" s="21"/>
      <c r="B208" s="43"/>
      <c r="C208" s="44"/>
      <c r="D208" s="45" t="s">
        <v>11</v>
      </c>
      <c r="E208" s="46" t="s">
        <v>64</v>
      </c>
      <c r="F208" s="46" t="s">
        <v>65</v>
      </c>
      <c r="G208" s="46" t="s">
        <v>66</v>
      </c>
      <c r="H208" s="47" t="s">
        <v>15</v>
      </c>
    </row>
    <row r="209" spans="1:8" ht="20.25">
      <c r="A209" s="137">
        <v>1</v>
      </c>
      <c r="B209" s="153" t="s">
        <v>84</v>
      </c>
      <c r="C209" s="54">
        <v>4</v>
      </c>
      <c r="D209" s="58">
        <v>354.59</v>
      </c>
      <c r="E209" s="56">
        <v>10.8</v>
      </c>
      <c r="F209" s="56">
        <v>24.3</v>
      </c>
      <c r="G209" s="56">
        <v>46</v>
      </c>
      <c r="H209" s="57">
        <v>15</v>
      </c>
    </row>
    <row r="210" spans="1:8" ht="20.25">
      <c r="A210" s="137">
        <v>2</v>
      </c>
      <c r="B210" s="153" t="s">
        <v>82</v>
      </c>
      <c r="C210" s="54">
        <v>2</v>
      </c>
      <c r="D210" s="58">
        <v>10</v>
      </c>
      <c r="E210" s="56">
        <v>0</v>
      </c>
      <c r="F210" s="56">
        <v>0</v>
      </c>
      <c r="G210" s="56">
        <v>0</v>
      </c>
      <c r="H210" s="57">
        <v>0</v>
      </c>
    </row>
    <row r="211" spans="1:8" ht="20.25">
      <c r="A211" s="137">
        <v>3</v>
      </c>
      <c r="B211" s="153" t="s">
        <v>93</v>
      </c>
      <c r="C211" s="54">
        <v>2</v>
      </c>
      <c r="D211" s="58">
        <v>88.17</v>
      </c>
      <c r="E211" s="56">
        <v>0</v>
      </c>
      <c r="F211" s="56">
        <v>0</v>
      </c>
      <c r="G211" s="56">
        <v>0</v>
      </c>
      <c r="H211" s="57">
        <v>5</v>
      </c>
    </row>
    <row r="212" spans="1:8" ht="18.75" customHeight="1">
      <c r="A212" s="137">
        <v>4</v>
      </c>
      <c r="B212" s="153" t="s">
        <v>70</v>
      </c>
      <c r="C212" s="54">
        <v>11</v>
      </c>
      <c r="D212" s="58">
        <v>147.32</v>
      </c>
      <c r="E212" s="56">
        <v>12.87</v>
      </c>
      <c r="F212" s="56">
        <v>18.018</v>
      </c>
      <c r="G212" s="56">
        <v>830</v>
      </c>
      <c r="H212" s="57">
        <v>25</v>
      </c>
    </row>
    <row r="213" spans="1:8" ht="15.75" customHeight="1">
      <c r="A213" s="137">
        <v>5</v>
      </c>
      <c r="B213" s="153" t="s">
        <v>181</v>
      </c>
      <c r="C213" s="54">
        <v>5</v>
      </c>
      <c r="D213" s="58">
        <v>117.79</v>
      </c>
      <c r="E213" s="56">
        <v>0</v>
      </c>
      <c r="F213" s="56">
        <v>0</v>
      </c>
      <c r="G213" s="56">
        <v>25.5</v>
      </c>
      <c r="H213" s="57">
        <v>10</v>
      </c>
    </row>
    <row r="214" spans="1:8" ht="20.25">
      <c r="A214" s="137">
        <v>6</v>
      </c>
      <c r="B214" s="153" t="s">
        <v>75</v>
      </c>
      <c r="C214" s="54">
        <v>1</v>
      </c>
      <c r="D214" s="58">
        <v>62.25</v>
      </c>
      <c r="E214" s="56">
        <v>0</v>
      </c>
      <c r="F214" s="56">
        <v>0</v>
      </c>
      <c r="G214" s="56">
        <v>0</v>
      </c>
      <c r="H214" s="57">
        <v>5</v>
      </c>
    </row>
    <row r="215" spans="1:8" ht="20.25">
      <c r="A215" s="137">
        <v>7</v>
      </c>
      <c r="B215" s="153" t="s">
        <v>87</v>
      </c>
      <c r="C215" s="54">
        <v>16</v>
      </c>
      <c r="D215" s="58">
        <f>670.7+41.44</f>
        <v>712.1400000000001</v>
      </c>
      <c r="E215" s="56">
        <v>32.33</v>
      </c>
      <c r="F215" s="56">
        <v>56.577</v>
      </c>
      <c r="G215" s="56">
        <v>2098.5</v>
      </c>
      <c r="H215" s="57">
        <v>100</v>
      </c>
    </row>
    <row r="216" spans="1:8" ht="20.25">
      <c r="A216" s="137">
        <v>8</v>
      </c>
      <c r="B216" s="153" t="s">
        <v>76</v>
      </c>
      <c r="C216" s="54">
        <v>10</v>
      </c>
      <c r="D216" s="58">
        <f>624.13+72</f>
        <v>696.13</v>
      </c>
      <c r="E216" s="56">
        <v>1.161</v>
      </c>
      <c r="F216" s="56">
        <v>2.9</v>
      </c>
      <c r="G216" s="56">
        <v>6812</v>
      </c>
      <c r="H216" s="57">
        <v>20</v>
      </c>
    </row>
    <row r="217" spans="1:8" ht="18.75">
      <c r="A217" s="87"/>
      <c r="B217" s="148" t="s">
        <v>143</v>
      </c>
      <c r="C217" s="13">
        <f aca="true" t="shared" si="18" ref="C217:H217">SUM(C209:C216)</f>
        <v>51</v>
      </c>
      <c r="D217" s="13">
        <f t="shared" si="18"/>
        <v>2188.39</v>
      </c>
      <c r="E217" s="13">
        <f t="shared" si="18"/>
        <v>57.161</v>
      </c>
      <c r="F217" s="13">
        <f t="shared" si="18"/>
        <v>101.795</v>
      </c>
      <c r="G217" s="15">
        <f t="shared" si="18"/>
        <v>9812</v>
      </c>
      <c r="H217" s="13">
        <f t="shared" si="18"/>
        <v>180</v>
      </c>
    </row>
    <row r="218" spans="1:8" ht="20.25">
      <c r="A218" s="75"/>
      <c r="B218" s="149"/>
      <c r="C218" s="90"/>
      <c r="D218" s="91"/>
      <c r="E218" s="92"/>
      <c r="F218" s="92"/>
      <c r="G218" s="92"/>
      <c r="H218" s="93"/>
    </row>
    <row r="219" spans="1:8" ht="23.25">
      <c r="A219" s="75"/>
      <c r="B219" s="149"/>
      <c r="C219" s="90"/>
      <c r="D219" s="150" t="s">
        <v>170</v>
      </c>
      <c r="E219" s="92"/>
      <c r="F219" s="92"/>
      <c r="G219" s="92"/>
      <c r="H219" s="93"/>
    </row>
    <row r="220" spans="1:8" ht="31.5">
      <c r="A220" s="36" t="s">
        <v>3</v>
      </c>
      <c r="B220" s="37"/>
      <c r="C220" s="38" t="s">
        <v>5</v>
      </c>
      <c r="D220" s="39" t="s">
        <v>6</v>
      </c>
      <c r="E220" s="40" t="s">
        <v>7</v>
      </c>
      <c r="F220" s="41" t="s">
        <v>8</v>
      </c>
      <c r="G220" s="41" t="s">
        <v>9</v>
      </c>
      <c r="H220" s="42" t="s">
        <v>63</v>
      </c>
    </row>
    <row r="221" spans="1:8" ht="15.75">
      <c r="A221" s="21"/>
      <c r="B221" s="43"/>
      <c r="C221" s="44"/>
      <c r="D221" s="45" t="s">
        <v>11</v>
      </c>
      <c r="E221" s="46" t="s">
        <v>64</v>
      </c>
      <c r="F221" s="46" t="s">
        <v>65</v>
      </c>
      <c r="G221" s="46" t="s">
        <v>66</v>
      </c>
      <c r="H221" s="47" t="s">
        <v>15</v>
      </c>
    </row>
    <row r="222" spans="1:8" s="136" customFormat="1" ht="20.25">
      <c r="A222" s="21">
        <v>1</v>
      </c>
      <c r="B222" s="147" t="s">
        <v>112</v>
      </c>
      <c r="C222" s="54">
        <v>4</v>
      </c>
      <c r="D222" s="58">
        <v>1075</v>
      </c>
      <c r="E222" s="56">
        <v>5.671</v>
      </c>
      <c r="F222" s="56">
        <v>24.505</v>
      </c>
      <c r="G222" s="56">
        <v>130</v>
      </c>
      <c r="H222" s="57">
        <v>30</v>
      </c>
    </row>
    <row r="223" spans="1:8" ht="20.25">
      <c r="A223" s="21">
        <v>2</v>
      </c>
      <c r="B223" s="147" t="s">
        <v>101</v>
      </c>
      <c r="C223" s="54">
        <v>1</v>
      </c>
      <c r="D223" s="58">
        <v>178.05</v>
      </c>
      <c r="E223" s="56">
        <v>67.842</v>
      </c>
      <c r="F223" s="56">
        <v>88.192</v>
      </c>
      <c r="G223" s="56">
        <v>3118</v>
      </c>
      <c r="H223" s="57">
        <v>77</v>
      </c>
    </row>
    <row r="224" spans="1:8" ht="18.75">
      <c r="A224" s="87"/>
      <c r="B224" s="148" t="s">
        <v>143</v>
      </c>
      <c r="C224" s="13">
        <f aca="true" t="shared" si="19" ref="C224:H224">SUM(C220:C223)</f>
        <v>5</v>
      </c>
      <c r="D224" s="13">
        <f t="shared" si="19"/>
        <v>1253.05</v>
      </c>
      <c r="E224" s="15">
        <f t="shared" si="19"/>
        <v>73.513</v>
      </c>
      <c r="F224" s="15">
        <f t="shared" si="19"/>
        <v>112.69699999999999</v>
      </c>
      <c r="G224" s="15">
        <f t="shared" si="19"/>
        <v>3248</v>
      </c>
      <c r="H224" s="13">
        <f t="shared" si="19"/>
        <v>107</v>
      </c>
    </row>
    <row r="225" spans="1:8" ht="20.25">
      <c r="A225" s="75"/>
      <c r="B225" s="149"/>
      <c r="C225" s="90"/>
      <c r="D225" s="91"/>
      <c r="E225" s="92"/>
      <c r="F225" s="92"/>
      <c r="G225" s="92"/>
      <c r="H225" s="93"/>
    </row>
    <row r="226" spans="1:8" ht="23.25">
      <c r="A226" s="75"/>
      <c r="B226" s="149"/>
      <c r="C226" s="90"/>
      <c r="D226" s="150" t="s">
        <v>176</v>
      </c>
      <c r="E226" s="92"/>
      <c r="F226" s="92"/>
      <c r="G226" s="92"/>
      <c r="H226" s="93"/>
    </row>
    <row r="227" spans="1:8" ht="31.5">
      <c r="A227" s="36" t="s">
        <v>3</v>
      </c>
      <c r="B227" s="37"/>
      <c r="C227" s="38" t="s">
        <v>5</v>
      </c>
      <c r="D227" s="39" t="s">
        <v>6</v>
      </c>
      <c r="E227" s="40" t="s">
        <v>7</v>
      </c>
      <c r="F227" s="41" t="s">
        <v>8</v>
      </c>
      <c r="G227" s="41" t="s">
        <v>9</v>
      </c>
      <c r="H227" s="42" t="s">
        <v>63</v>
      </c>
    </row>
    <row r="228" spans="1:8" ht="15.75">
      <c r="A228" s="21"/>
      <c r="B228" s="43"/>
      <c r="C228" s="44"/>
      <c r="D228" s="45" t="s">
        <v>11</v>
      </c>
      <c r="E228" s="46" t="s">
        <v>64</v>
      </c>
      <c r="F228" s="46" t="s">
        <v>65</v>
      </c>
      <c r="G228" s="46" t="s">
        <v>66</v>
      </c>
      <c r="H228" s="47" t="s">
        <v>15</v>
      </c>
    </row>
    <row r="229" spans="1:8" ht="20.25">
      <c r="A229" s="21">
        <v>1</v>
      </c>
      <c r="B229" s="147" t="s">
        <v>117</v>
      </c>
      <c r="C229" s="54">
        <v>7</v>
      </c>
      <c r="D229" s="58">
        <v>244.33</v>
      </c>
      <c r="E229" s="56">
        <v>0.28</v>
      </c>
      <c r="F229" s="56">
        <v>1.12</v>
      </c>
      <c r="G229" s="56">
        <v>53.218</v>
      </c>
      <c r="H229" s="57">
        <v>6</v>
      </c>
    </row>
    <row r="230" spans="1:8" ht="20.25">
      <c r="A230" s="21">
        <v>2</v>
      </c>
      <c r="B230" s="147" t="s">
        <v>75</v>
      </c>
      <c r="C230" s="54">
        <v>4</v>
      </c>
      <c r="D230" s="58">
        <v>223.59</v>
      </c>
      <c r="E230" s="56">
        <v>0</v>
      </c>
      <c r="F230" s="56">
        <v>0</v>
      </c>
      <c r="G230" s="56">
        <v>0</v>
      </c>
      <c r="H230" s="57">
        <v>0</v>
      </c>
    </row>
    <row r="231" spans="1:8" ht="18.75">
      <c r="A231" s="87"/>
      <c r="B231" s="148" t="s">
        <v>143</v>
      </c>
      <c r="C231" s="13">
        <f aca="true" t="shared" si="20" ref="C231:H231">SUM(C227:C230)</f>
        <v>11</v>
      </c>
      <c r="D231" s="13">
        <f t="shared" si="20"/>
        <v>467.92</v>
      </c>
      <c r="E231" s="15">
        <f t="shared" si="20"/>
        <v>0.28</v>
      </c>
      <c r="F231" s="15">
        <f t="shared" si="20"/>
        <v>1.12</v>
      </c>
      <c r="G231" s="15">
        <f t="shared" si="20"/>
        <v>53.218</v>
      </c>
      <c r="H231" s="13">
        <f t="shared" si="20"/>
        <v>6</v>
      </c>
    </row>
    <row r="232" spans="1:8" ht="20.25">
      <c r="A232" s="75"/>
      <c r="B232" s="149"/>
      <c r="C232" s="90"/>
      <c r="D232" s="91"/>
      <c r="E232" s="92"/>
      <c r="F232" s="92"/>
      <c r="G232" s="92"/>
      <c r="H232" s="93"/>
    </row>
    <row r="233" spans="1:8" ht="23.25">
      <c r="A233" s="75"/>
      <c r="B233" s="149"/>
      <c r="C233" s="90"/>
      <c r="D233" s="150" t="s">
        <v>167</v>
      </c>
      <c r="E233" s="92"/>
      <c r="F233" s="92"/>
      <c r="G233" s="92"/>
      <c r="H233" s="93"/>
    </row>
    <row r="234" spans="1:8" ht="31.5">
      <c r="A234" s="36" t="s">
        <v>3</v>
      </c>
      <c r="B234" s="37"/>
      <c r="C234" s="38" t="s">
        <v>5</v>
      </c>
      <c r="D234" s="39" t="s">
        <v>6</v>
      </c>
      <c r="E234" s="40" t="s">
        <v>7</v>
      </c>
      <c r="F234" s="41" t="s">
        <v>8</v>
      </c>
      <c r="G234" s="41" t="s">
        <v>9</v>
      </c>
      <c r="H234" s="42" t="s">
        <v>63</v>
      </c>
    </row>
    <row r="235" spans="1:8" ht="15.75">
      <c r="A235" s="21"/>
      <c r="B235" s="43"/>
      <c r="C235" s="44"/>
      <c r="D235" s="45" t="s">
        <v>11</v>
      </c>
      <c r="E235" s="46" t="s">
        <v>64</v>
      </c>
      <c r="F235" s="46" t="s">
        <v>65</v>
      </c>
      <c r="G235" s="46" t="s">
        <v>66</v>
      </c>
      <c r="H235" s="47" t="s">
        <v>15</v>
      </c>
    </row>
    <row r="236" spans="1:8" ht="20.25">
      <c r="A236" s="21">
        <v>1</v>
      </c>
      <c r="B236" s="147" t="s">
        <v>82</v>
      </c>
      <c r="C236" s="54">
        <v>5</v>
      </c>
      <c r="D236" s="58">
        <v>131.91</v>
      </c>
      <c r="E236" s="56">
        <v>45.578</v>
      </c>
      <c r="F236" s="56">
        <v>100.272</v>
      </c>
      <c r="G236" s="56">
        <v>1796</v>
      </c>
      <c r="H236" s="57">
        <v>250</v>
      </c>
    </row>
    <row r="237" spans="1:8" ht="20.25">
      <c r="A237" s="21">
        <v>2</v>
      </c>
      <c r="B237" s="147" t="s">
        <v>87</v>
      </c>
      <c r="C237" s="54">
        <v>29</v>
      </c>
      <c r="D237" s="58">
        <v>1002</v>
      </c>
      <c r="E237" s="56">
        <v>167.71</v>
      </c>
      <c r="F237" s="56">
        <v>402.504</v>
      </c>
      <c r="G237" s="56">
        <v>3893</v>
      </c>
      <c r="H237" s="57">
        <v>400</v>
      </c>
    </row>
    <row r="238" spans="1:8" s="136" customFormat="1" ht="20.25">
      <c r="A238" s="21">
        <v>3</v>
      </c>
      <c r="B238" s="147" t="s">
        <v>76</v>
      </c>
      <c r="C238" s="54">
        <v>11</v>
      </c>
      <c r="D238" s="58">
        <v>900.62</v>
      </c>
      <c r="E238" s="56">
        <v>0</v>
      </c>
      <c r="F238" s="56">
        <v>0</v>
      </c>
      <c r="G238" s="56">
        <v>108</v>
      </c>
      <c r="H238" s="57">
        <v>0</v>
      </c>
    </row>
    <row r="239" spans="1:8" ht="20.25">
      <c r="A239" s="21">
        <v>4</v>
      </c>
      <c r="B239" s="147" t="s">
        <v>79</v>
      </c>
      <c r="C239" s="54">
        <v>0</v>
      </c>
      <c r="D239" s="58">
        <v>0</v>
      </c>
      <c r="E239" s="56">
        <v>0</v>
      </c>
      <c r="F239" s="56">
        <v>0</v>
      </c>
      <c r="G239" s="56">
        <v>350</v>
      </c>
      <c r="H239" s="57">
        <v>0</v>
      </c>
    </row>
    <row r="240" spans="1:8" ht="18.75">
      <c r="A240" s="87"/>
      <c r="B240" s="148" t="s">
        <v>143</v>
      </c>
      <c r="C240" s="13">
        <f aca="true" t="shared" si="21" ref="C240:H240">SUM(C236:C239)</f>
        <v>45</v>
      </c>
      <c r="D240" s="13">
        <f t="shared" si="21"/>
        <v>2034.5300000000002</v>
      </c>
      <c r="E240" s="15">
        <f t="shared" si="21"/>
        <v>213.288</v>
      </c>
      <c r="F240" s="15">
        <f t="shared" si="21"/>
        <v>502.776</v>
      </c>
      <c r="G240" s="15">
        <f t="shared" si="21"/>
        <v>6147</v>
      </c>
      <c r="H240" s="13">
        <f t="shared" si="21"/>
        <v>650</v>
      </c>
    </row>
    <row r="241" spans="1:8" ht="20.25">
      <c r="A241" s="75"/>
      <c r="B241" s="149"/>
      <c r="C241" s="90"/>
      <c r="D241" s="91"/>
      <c r="E241" s="92"/>
      <c r="F241" s="92"/>
      <c r="G241" s="92"/>
      <c r="H241" s="93"/>
    </row>
    <row r="242" spans="1:8" ht="23.25">
      <c r="A242" s="75"/>
      <c r="B242" s="149"/>
      <c r="C242" s="90"/>
      <c r="D242" s="150" t="s">
        <v>177</v>
      </c>
      <c r="E242" s="92"/>
      <c r="F242" s="92"/>
      <c r="G242" s="92"/>
      <c r="H242" s="93"/>
    </row>
    <row r="243" spans="1:8" ht="31.5">
      <c r="A243" s="36" t="s">
        <v>3</v>
      </c>
      <c r="B243" s="37"/>
      <c r="C243" s="38" t="s">
        <v>5</v>
      </c>
      <c r="D243" s="39" t="s">
        <v>6</v>
      </c>
      <c r="E243" s="40" t="s">
        <v>7</v>
      </c>
      <c r="F243" s="41" t="s">
        <v>8</v>
      </c>
      <c r="G243" s="41" t="s">
        <v>9</v>
      </c>
      <c r="H243" s="42" t="s">
        <v>63</v>
      </c>
    </row>
    <row r="244" spans="1:8" ht="15.75">
      <c r="A244" s="21"/>
      <c r="B244" s="43"/>
      <c r="C244" s="44"/>
      <c r="D244" s="45" t="s">
        <v>11</v>
      </c>
      <c r="E244" s="46" t="s">
        <v>64</v>
      </c>
      <c r="F244" s="46" t="s">
        <v>65</v>
      </c>
      <c r="G244" s="46" t="s">
        <v>66</v>
      </c>
      <c r="H244" s="47" t="s">
        <v>15</v>
      </c>
    </row>
    <row r="245" spans="1:8" ht="20.25">
      <c r="A245" s="21">
        <v>1</v>
      </c>
      <c r="B245" s="147" t="s">
        <v>72</v>
      </c>
      <c r="C245" s="54">
        <v>2</v>
      </c>
      <c r="D245" s="58">
        <v>3980</v>
      </c>
      <c r="E245" s="56">
        <v>433.645</v>
      </c>
      <c r="F245" s="56">
        <v>737.2</v>
      </c>
      <c r="G245" s="56">
        <v>22536.224</v>
      </c>
      <c r="H245" s="57">
        <v>186</v>
      </c>
    </row>
    <row r="246" spans="1:8" ht="20.25">
      <c r="A246" s="21">
        <v>2</v>
      </c>
      <c r="B246" s="147" t="s">
        <v>79</v>
      </c>
      <c r="C246" s="54">
        <v>0</v>
      </c>
      <c r="D246" s="58">
        <v>0</v>
      </c>
      <c r="E246" s="56">
        <v>0</v>
      </c>
      <c r="F246" s="56">
        <v>0</v>
      </c>
      <c r="G246" s="56">
        <v>1</v>
      </c>
      <c r="H246" s="57">
        <v>0</v>
      </c>
    </row>
    <row r="247" spans="1:8" ht="18.75">
      <c r="A247" s="21"/>
      <c r="B247" s="148" t="s">
        <v>143</v>
      </c>
      <c r="C247" s="13">
        <f aca="true" t="shared" si="22" ref="C247:H247">SUM(C243:C246)</f>
        <v>2</v>
      </c>
      <c r="D247" s="13">
        <f t="shared" si="22"/>
        <v>3980</v>
      </c>
      <c r="E247" s="15">
        <f t="shared" si="22"/>
        <v>433.645</v>
      </c>
      <c r="F247" s="15">
        <f t="shared" si="22"/>
        <v>737.2</v>
      </c>
      <c r="G247" s="15">
        <f t="shared" si="22"/>
        <v>22537.224</v>
      </c>
      <c r="H247" s="13">
        <f t="shared" si="22"/>
        <v>186</v>
      </c>
    </row>
    <row r="248" spans="1:8" ht="20.25">
      <c r="A248" s="75"/>
      <c r="B248" s="149"/>
      <c r="C248" s="90"/>
      <c r="D248" s="91"/>
      <c r="E248" s="92"/>
      <c r="F248" s="92"/>
      <c r="G248" s="92"/>
      <c r="H248" s="93"/>
    </row>
    <row r="249" spans="1:8" ht="23.25">
      <c r="A249" s="75"/>
      <c r="B249" s="149"/>
      <c r="C249" s="90"/>
      <c r="D249" s="150" t="s">
        <v>174</v>
      </c>
      <c r="E249" s="92"/>
      <c r="F249" s="92"/>
      <c r="G249" s="92"/>
      <c r="H249" s="93"/>
    </row>
    <row r="250" spans="1:8" ht="31.5">
      <c r="A250" s="36" t="s">
        <v>3</v>
      </c>
      <c r="B250" s="37"/>
      <c r="C250" s="38" t="s">
        <v>5</v>
      </c>
      <c r="D250" s="39" t="s">
        <v>6</v>
      </c>
      <c r="E250" s="40" t="s">
        <v>7</v>
      </c>
      <c r="F250" s="41" t="s">
        <v>8</v>
      </c>
      <c r="G250" s="41" t="s">
        <v>9</v>
      </c>
      <c r="H250" s="42" t="s">
        <v>63</v>
      </c>
    </row>
    <row r="251" spans="1:8" ht="15.75">
      <c r="A251" s="21"/>
      <c r="B251" s="43"/>
      <c r="C251" s="44"/>
      <c r="D251" s="45" t="s">
        <v>11</v>
      </c>
      <c r="E251" s="46" t="s">
        <v>64</v>
      </c>
      <c r="F251" s="46" t="s">
        <v>65</v>
      </c>
      <c r="G251" s="46" t="s">
        <v>66</v>
      </c>
      <c r="H251" s="47" t="s">
        <v>15</v>
      </c>
    </row>
    <row r="252" spans="1:8" ht="20.25">
      <c r="A252" s="21">
        <v>1</v>
      </c>
      <c r="B252" s="147" t="s">
        <v>101</v>
      </c>
      <c r="C252" s="54">
        <v>2</v>
      </c>
      <c r="D252" s="58">
        <v>2861.33</v>
      </c>
      <c r="E252" s="56">
        <v>0</v>
      </c>
      <c r="F252" s="56">
        <v>0</v>
      </c>
      <c r="G252" s="56">
        <f>4518+184</f>
        <v>4702</v>
      </c>
      <c r="H252" s="57">
        <v>0</v>
      </c>
    </row>
    <row r="253" spans="1:8" ht="20.25">
      <c r="A253" s="21">
        <v>2</v>
      </c>
      <c r="B253" s="153" t="s">
        <v>98</v>
      </c>
      <c r="C253" s="54">
        <v>1</v>
      </c>
      <c r="D253" s="58">
        <v>1063</v>
      </c>
      <c r="E253" s="56">
        <v>165.496</v>
      </c>
      <c r="F253" s="56">
        <v>1240.695</v>
      </c>
      <c r="G253" s="56">
        <v>8271</v>
      </c>
      <c r="H253" s="57">
        <v>25</v>
      </c>
    </row>
    <row r="254" spans="1:8" ht="20.25">
      <c r="A254" s="21">
        <v>3</v>
      </c>
      <c r="B254" s="153" t="s">
        <v>72</v>
      </c>
      <c r="C254" s="54">
        <v>2</v>
      </c>
      <c r="D254" s="58">
        <v>702.57</v>
      </c>
      <c r="E254" s="56">
        <v>0</v>
      </c>
      <c r="F254" s="56">
        <v>0</v>
      </c>
      <c r="G254" s="56">
        <v>1044</v>
      </c>
      <c r="H254" s="57">
        <v>0</v>
      </c>
    </row>
    <row r="255" spans="1:8" ht="18.75">
      <c r="A255" s="87"/>
      <c r="B255" s="148" t="s">
        <v>143</v>
      </c>
      <c r="C255" s="13">
        <f aca="true" t="shared" si="23" ref="C255:H255">SUM(C251:C254)</f>
        <v>5</v>
      </c>
      <c r="D255" s="13">
        <f t="shared" si="23"/>
        <v>4626.9</v>
      </c>
      <c r="E255" s="15">
        <f t="shared" si="23"/>
        <v>165.496</v>
      </c>
      <c r="F255" s="15">
        <f t="shared" si="23"/>
        <v>1240.695</v>
      </c>
      <c r="G255" s="15">
        <f t="shared" si="23"/>
        <v>14017</v>
      </c>
      <c r="H255" s="13">
        <f t="shared" si="23"/>
        <v>25</v>
      </c>
    </row>
    <row r="256" spans="1:8" ht="20.25">
      <c r="A256" s="75"/>
      <c r="B256" s="149"/>
      <c r="C256" s="90"/>
      <c r="D256" s="91"/>
      <c r="E256" s="92"/>
      <c r="F256" s="92"/>
      <c r="G256" s="92"/>
      <c r="H256" s="93"/>
    </row>
    <row r="257" spans="1:8" ht="23.25">
      <c r="A257" s="75"/>
      <c r="B257" s="149"/>
      <c r="C257" s="90"/>
      <c r="D257" s="150" t="s">
        <v>172</v>
      </c>
      <c r="E257" s="92"/>
      <c r="F257" s="92"/>
      <c r="G257" s="92"/>
      <c r="H257" s="93"/>
    </row>
    <row r="258" spans="1:8" ht="31.5">
      <c r="A258" s="36" t="s">
        <v>3</v>
      </c>
      <c r="B258" s="37"/>
      <c r="C258" s="38" t="s">
        <v>5</v>
      </c>
      <c r="D258" s="39" t="s">
        <v>6</v>
      </c>
      <c r="E258" s="40" t="s">
        <v>7</v>
      </c>
      <c r="F258" s="41" t="s">
        <v>8</v>
      </c>
      <c r="G258" s="41" t="s">
        <v>9</v>
      </c>
      <c r="H258" s="42" t="s">
        <v>63</v>
      </c>
    </row>
    <row r="259" spans="1:8" ht="15.75">
      <c r="A259" s="21"/>
      <c r="B259" s="43"/>
      <c r="C259" s="44"/>
      <c r="D259" s="45" t="s">
        <v>11</v>
      </c>
      <c r="E259" s="46" t="s">
        <v>64</v>
      </c>
      <c r="F259" s="46" t="s">
        <v>65</v>
      </c>
      <c r="G259" s="46" t="s">
        <v>66</v>
      </c>
      <c r="H259" s="47" t="s">
        <v>15</v>
      </c>
    </row>
    <row r="260" spans="1:8" ht="20.25">
      <c r="A260" s="137">
        <v>1</v>
      </c>
      <c r="B260" s="153" t="s">
        <v>70</v>
      </c>
      <c r="C260" s="54">
        <v>1</v>
      </c>
      <c r="D260" s="58">
        <v>5</v>
      </c>
      <c r="E260" s="56">
        <v>0</v>
      </c>
      <c r="F260" s="56">
        <v>0</v>
      </c>
      <c r="G260" s="56">
        <v>0</v>
      </c>
      <c r="H260" s="57">
        <v>0</v>
      </c>
    </row>
    <row r="261" spans="1:8" ht="20.25">
      <c r="A261" s="21">
        <v>2</v>
      </c>
      <c r="B261" s="153" t="s">
        <v>75</v>
      </c>
      <c r="C261" s="54">
        <v>11</v>
      </c>
      <c r="D261" s="58">
        <v>73.828</v>
      </c>
      <c r="E261" s="56">
        <v>10.107</v>
      </c>
      <c r="F261" s="56">
        <v>50.535</v>
      </c>
      <c r="G261" s="56">
        <f>541.526-187.6</f>
        <v>353.92599999999993</v>
      </c>
      <c r="H261" s="57">
        <v>36</v>
      </c>
    </row>
    <row r="262" spans="1:8" ht="20.25">
      <c r="A262" s="21">
        <v>3</v>
      </c>
      <c r="B262" s="147" t="s">
        <v>79</v>
      </c>
      <c r="C262" s="54">
        <v>0</v>
      </c>
      <c r="D262" s="58">
        <v>0</v>
      </c>
      <c r="E262" s="56">
        <v>0</v>
      </c>
      <c r="F262" s="56">
        <v>0</v>
      </c>
      <c r="G262" s="56">
        <v>187.6</v>
      </c>
      <c r="H262" s="57">
        <v>0</v>
      </c>
    </row>
    <row r="263" spans="1:8" ht="18.75">
      <c r="A263" s="87"/>
      <c r="B263" s="148" t="s">
        <v>143</v>
      </c>
      <c r="C263" s="13">
        <f aca="true" t="shared" si="24" ref="C263:H263">SUM(C259:C262)</f>
        <v>12</v>
      </c>
      <c r="D263" s="13">
        <f t="shared" si="24"/>
        <v>78.828</v>
      </c>
      <c r="E263" s="15">
        <f t="shared" si="24"/>
        <v>10.107</v>
      </c>
      <c r="F263" s="15">
        <f t="shared" si="24"/>
        <v>50.535</v>
      </c>
      <c r="G263" s="15">
        <f t="shared" si="24"/>
        <v>541.526</v>
      </c>
      <c r="H263" s="13">
        <f t="shared" si="24"/>
        <v>36</v>
      </c>
    </row>
    <row r="264" spans="1:8" ht="20.25">
      <c r="A264" s="75"/>
      <c r="B264" s="149"/>
      <c r="C264" s="90"/>
      <c r="D264" s="91"/>
      <c r="E264" s="92"/>
      <c r="F264" s="92"/>
      <c r="G264" s="92"/>
      <c r="H264" s="93"/>
    </row>
    <row r="265" spans="1:8" ht="23.25">
      <c r="A265" s="75"/>
      <c r="B265" s="149"/>
      <c r="C265" s="90"/>
      <c r="D265" s="150" t="s">
        <v>150</v>
      </c>
      <c r="E265" s="92"/>
      <c r="F265" s="92"/>
      <c r="G265" s="92"/>
      <c r="H265" s="93"/>
    </row>
    <row r="266" spans="1:8" ht="31.5">
      <c r="A266" s="36" t="s">
        <v>3</v>
      </c>
      <c r="B266" s="37"/>
      <c r="C266" s="38" t="s">
        <v>5</v>
      </c>
      <c r="D266" s="39" t="s">
        <v>6</v>
      </c>
      <c r="E266" s="40" t="s">
        <v>7</v>
      </c>
      <c r="F266" s="41" t="s">
        <v>8</v>
      </c>
      <c r="G266" s="41" t="s">
        <v>9</v>
      </c>
      <c r="H266" s="42" t="s">
        <v>63</v>
      </c>
    </row>
    <row r="267" spans="1:8" ht="15.75">
      <c r="A267" s="21"/>
      <c r="B267" s="43"/>
      <c r="C267" s="44"/>
      <c r="D267" s="45" t="s">
        <v>11</v>
      </c>
      <c r="E267" s="46" t="s">
        <v>64</v>
      </c>
      <c r="F267" s="46" t="s">
        <v>65</v>
      </c>
      <c r="G267" s="46" t="s">
        <v>66</v>
      </c>
      <c r="H267" s="47" t="s">
        <v>15</v>
      </c>
    </row>
    <row r="268" spans="1:8" ht="20.25">
      <c r="A268" s="21">
        <v>1</v>
      </c>
      <c r="B268" s="147" t="s">
        <v>67</v>
      </c>
      <c r="C268" s="54">
        <v>2</v>
      </c>
      <c r="D268" s="58">
        <v>1342.04</v>
      </c>
      <c r="E268" s="56">
        <v>577.924</v>
      </c>
      <c r="F268" s="56">
        <v>1778.85</v>
      </c>
      <c r="G268" s="56">
        <v>365572.603</v>
      </c>
      <c r="H268" s="57">
        <v>1132</v>
      </c>
    </row>
    <row r="269" spans="1:8" ht="20.25">
      <c r="A269" s="21">
        <v>2</v>
      </c>
      <c r="B269" s="147" t="s">
        <v>93</v>
      </c>
      <c r="C269" s="54">
        <v>0</v>
      </c>
      <c r="D269" s="58">
        <v>0</v>
      </c>
      <c r="E269" s="56">
        <v>79.5</v>
      </c>
      <c r="F269" s="56">
        <v>119.25</v>
      </c>
      <c r="G269" s="56">
        <v>4832</v>
      </c>
      <c r="H269" s="57">
        <v>0</v>
      </c>
    </row>
    <row r="270" spans="1:8" ht="20.25">
      <c r="A270" s="21">
        <v>3</v>
      </c>
      <c r="B270" s="147" t="s">
        <v>70</v>
      </c>
      <c r="C270" s="54">
        <v>0</v>
      </c>
      <c r="D270" s="58">
        <v>0</v>
      </c>
      <c r="E270" s="56">
        <v>19.55</v>
      </c>
      <c r="F270" s="56">
        <v>19.55</v>
      </c>
      <c r="G270" s="56">
        <v>427.335</v>
      </c>
      <c r="H270" s="57">
        <v>0</v>
      </c>
    </row>
    <row r="271" spans="1:8" ht="20.25">
      <c r="A271" s="21">
        <v>4</v>
      </c>
      <c r="B271" s="147" t="s">
        <v>86</v>
      </c>
      <c r="C271" s="54">
        <v>2</v>
      </c>
      <c r="D271" s="58">
        <v>25</v>
      </c>
      <c r="E271" s="56">
        <v>0</v>
      </c>
      <c r="F271" s="56">
        <v>0</v>
      </c>
      <c r="G271" s="56">
        <v>23.3</v>
      </c>
      <c r="H271" s="57">
        <v>0</v>
      </c>
    </row>
    <row r="272" spans="1:8" ht="20.25">
      <c r="A272" s="21">
        <v>5</v>
      </c>
      <c r="B272" s="147" t="s">
        <v>75</v>
      </c>
      <c r="C272" s="54">
        <v>20</v>
      </c>
      <c r="D272" s="58">
        <v>95.63</v>
      </c>
      <c r="E272" s="56">
        <v>39.1</v>
      </c>
      <c r="F272" s="56">
        <v>39.1</v>
      </c>
      <c r="G272" s="56">
        <f>854.665+46</f>
        <v>900.665</v>
      </c>
      <c r="H272" s="57">
        <v>260</v>
      </c>
    </row>
    <row r="273" spans="1:8" ht="20.25">
      <c r="A273" s="21">
        <v>6</v>
      </c>
      <c r="B273" s="147" t="s">
        <v>76</v>
      </c>
      <c r="C273" s="54">
        <v>23</v>
      </c>
      <c r="D273" s="58">
        <v>1862.08</v>
      </c>
      <c r="E273" s="56">
        <v>5.6</v>
      </c>
      <c r="F273" s="56">
        <v>59.5</v>
      </c>
      <c r="G273" s="56">
        <f>2862.281+20.5</f>
        <v>2882.781</v>
      </c>
      <c r="H273" s="57">
        <v>230</v>
      </c>
    </row>
    <row r="274" spans="1:8" ht="20.25">
      <c r="A274" s="21">
        <v>7</v>
      </c>
      <c r="B274" s="147" t="s">
        <v>79</v>
      </c>
      <c r="C274" s="54">
        <v>0</v>
      </c>
      <c r="D274" s="58">
        <v>0</v>
      </c>
      <c r="E274" s="56">
        <v>0</v>
      </c>
      <c r="F274" s="56">
        <v>0</v>
      </c>
      <c r="G274" s="56">
        <v>199.25</v>
      </c>
      <c r="H274" s="57">
        <v>0</v>
      </c>
    </row>
    <row r="275" spans="1:8" ht="18.75">
      <c r="A275" s="87"/>
      <c r="B275" s="148" t="s">
        <v>143</v>
      </c>
      <c r="C275" s="13">
        <f aca="true" t="shared" si="25" ref="C275:H275">SUM(C268:C274)</f>
        <v>47</v>
      </c>
      <c r="D275" s="13">
        <f t="shared" si="25"/>
        <v>3324.75</v>
      </c>
      <c r="E275" s="13">
        <f t="shared" si="25"/>
        <v>721.674</v>
      </c>
      <c r="F275" s="15">
        <f t="shared" si="25"/>
        <v>2016.2499999999998</v>
      </c>
      <c r="G275" s="13">
        <f t="shared" si="25"/>
        <v>374837.934</v>
      </c>
      <c r="H275" s="13">
        <f t="shared" si="25"/>
        <v>1622</v>
      </c>
    </row>
    <row r="276" spans="1:8" ht="20.25">
      <c r="A276" s="75"/>
      <c r="B276" s="149"/>
      <c r="C276" s="90"/>
      <c r="D276" s="91"/>
      <c r="E276" s="92"/>
      <c r="F276" s="92"/>
      <c r="G276" s="92"/>
      <c r="H276" s="93"/>
    </row>
    <row r="277" spans="1:8" ht="23.25">
      <c r="A277" s="75"/>
      <c r="B277" s="149"/>
      <c r="C277" s="90"/>
      <c r="D277" s="150" t="s">
        <v>178</v>
      </c>
      <c r="E277" s="92"/>
      <c r="F277" s="92"/>
      <c r="G277" s="92"/>
      <c r="H277" s="93"/>
    </row>
    <row r="278" spans="1:8" ht="31.5">
      <c r="A278" s="36" t="s">
        <v>3</v>
      </c>
      <c r="B278" s="37"/>
      <c r="C278" s="38" t="s">
        <v>5</v>
      </c>
      <c r="D278" s="39" t="s">
        <v>6</v>
      </c>
      <c r="E278" s="40" t="s">
        <v>7</v>
      </c>
      <c r="F278" s="41" t="s">
        <v>8</v>
      </c>
      <c r="G278" s="41" t="s">
        <v>9</v>
      </c>
      <c r="H278" s="42" t="s">
        <v>63</v>
      </c>
    </row>
    <row r="279" spans="1:8" ht="15.75">
      <c r="A279" s="21"/>
      <c r="B279" s="43"/>
      <c r="C279" s="44"/>
      <c r="D279" s="45" t="s">
        <v>11</v>
      </c>
      <c r="E279" s="46" t="s">
        <v>64</v>
      </c>
      <c r="F279" s="46" t="s">
        <v>65</v>
      </c>
      <c r="G279" s="46" t="s">
        <v>66</v>
      </c>
      <c r="H279" s="47" t="s">
        <v>15</v>
      </c>
    </row>
    <row r="280" spans="1:8" ht="20.25">
      <c r="A280" s="21">
        <v>1</v>
      </c>
      <c r="B280" s="147" t="s">
        <v>72</v>
      </c>
      <c r="C280" s="54">
        <v>1</v>
      </c>
      <c r="D280" s="58">
        <v>895.42</v>
      </c>
      <c r="E280" s="56">
        <v>1805.295</v>
      </c>
      <c r="F280" s="56">
        <v>1353.971</v>
      </c>
      <c r="G280" s="56">
        <v>85054</v>
      </c>
      <c r="H280" s="57">
        <v>573</v>
      </c>
    </row>
    <row r="281" spans="1:8" ht="18.75">
      <c r="A281" s="87"/>
      <c r="B281" s="148" t="s">
        <v>143</v>
      </c>
      <c r="C281" s="13">
        <f aca="true" t="shared" si="26" ref="C281:H281">SUM(C277:C280)</f>
        <v>1</v>
      </c>
      <c r="D281" s="13">
        <f t="shared" si="26"/>
        <v>895.42</v>
      </c>
      <c r="E281" s="15">
        <f t="shared" si="26"/>
        <v>1805.295</v>
      </c>
      <c r="F281" s="15">
        <f t="shared" si="26"/>
        <v>1353.971</v>
      </c>
      <c r="G281" s="15">
        <f t="shared" si="26"/>
        <v>85054</v>
      </c>
      <c r="H281" s="13">
        <f t="shared" si="26"/>
        <v>573</v>
      </c>
    </row>
    <row r="282" spans="1:8" ht="20.25">
      <c r="A282" s="75"/>
      <c r="B282" s="149"/>
      <c r="C282" s="90"/>
      <c r="D282" s="91"/>
      <c r="E282" s="92"/>
      <c r="F282" s="92"/>
      <c r="G282" s="92"/>
      <c r="H282" s="93"/>
    </row>
    <row r="283" spans="1:8" ht="23.25">
      <c r="A283" s="75"/>
      <c r="B283" s="149"/>
      <c r="C283" s="90"/>
      <c r="D283" s="150" t="s">
        <v>142</v>
      </c>
      <c r="E283" s="92"/>
      <c r="F283" s="92"/>
      <c r="G283" s="92"/>
      <c r="H283" s="93"/>
    </row>
    <row r="284" spans="1:8" ht="31.5">
      <c r="A284" s="36" t="s">
        <v>3</v>
      </c>
      <c r="B284" s="37"/>
      <c r="C284" s="38" t="s">
        <v>5</v>
      </c>
      <c r="D284" s="39" t="s">
        <v>6</v>
      </c>
      <c r="E284" s="40" t="s">
        <v>7</v>
      </c>
      <c r="F284" s="41" t="s">
        <v>8</v>
      </c>
      <c r="G284" s="41" t="s">
        <v>9</v>
      </c>
      <c r="H284" s="42" t="s">
        <v>63</v>
      </c>
    </row>
    <row r="285" spans="1:8" ht="15.75">
      <c r="A285" s="21"/>
      <c r="B285" s="43"/>
      <c r="C285" s="44"/>
      <c r="D285" s="45" t="s">
        <v>11</v>
      </c>
      <c r="E285" s="46" t="s">
        <v>64</v>
      </c>
      <c r="F285" s="46" t="s">
        <v>65</v>
      </c>
      <c r="G285" s="46" t="s">
        <v>66</v>
      </c>
      <c r="H285" s="47" t="s">
        <v>15</v>
      </c>
    </row>
    <row r="286" spans="1:8" ht="20.25">
      <c r="A286" s="21">
        <v>1</v>
      </c>
      <c r="B286" s="147" t="s">
        <v>121</v>
      </c>
      <c r="C286" s="54">
        <v>3</v>
      </c>
      <c r="D286" s="58">
        <v>706.75</v>
      </c>
      <c r="E286" s="56">
        <v>1000.414</v>
      </c>
      <c r="F286" s="56">
        <v>25200.37</v>
      </c>
      <c r="G286" s="56">
        <f>104877.582-764-246</f>
        <v>103867.582</v>
      </c>
      <c r="H286" s="57">
        <v>2500</v>
      </c>
    </row>
    <row r="287" spans="1:8" ht="20.25">
      <c r="A287" s="137">
        <v>2</v>
      </c>
      <c r="B287" s="147" t="s">
        <v>122</v>
      </c>
      <c r="C287" s="54">
        <v>0</v>
      </c>
      <c r="D287" s="58">
        <v>0</v>
      </c>
      <c r="E287" s="56">
        <v>51.005</v>
      </c>
      <c r="F287" s="56">
        <v>416.915</v>
      </c>
      <c r="G287" s="56">
        <v>764</v>
      </c>
      <c r="H287" s="57">
        <v>0</v>
      </c>
    </row>
    <row r="288" spans="1:8" ht="20.25">
      <c r="A288" s="21">
        <v>3</v>
      </c>
      <c r="B288" s="147" t="s">
        <v>84</v>
      </c>
      <c r="C288" s="54">
        <v>10</v>
      </c>
      <c r="D288" s="58">
        <v>196</v>
      </c>
      <c r="E288" s="56">
        <v>32.811</v>
      </c>
      <c r="F288" s="56">
        <v>49.216</v>
      </c>
      <c r="G288" s="56">
        <v>2074.202</v>
      </c>
      <c r="H288" s="57">
        <v>125</v>
      </c>
    </row>
    <row r="289" spans="1:8" ht="20.25">
      <c r="A289" s="137">
        <v>4</v>
      </c>
      <c r="B289" s="147" t="s">
        <v>123</v>
      </c>
      <c r="C289" s="54">
        <v>0</v>
      </c>
      <c r="D289" s="58">
        <v>0</v>
      </c>
      <c r="E289" s="56">
        <v>487.977</v>
      </c>
      <c r="F289" s="56">
        <v>79.7</v>
      </c>
      <c r="G289" s="56">
        <v>246</v>
      </c>
      <c r="H289" s="57">
        <v>0</v>
      </c>
    </row>
    <row r="290" spans="1:8" ht="20.25">
      <c r="A290" s="21">
        <v>5</v>
      </c>
      <c r="B290" s="147" t="s">
        <v>85</v>
      </c>
      <c r="C290" s="54">
        <v>1</v>
      </c>
      <c r="D290" s="58">
        <v>47.51</v>
      </c>
      <c r="E290" s="56">
        <v>0</v>
      </c>
      <c r="F290" s="56">
        <v>0</v>
      </c>
      <c r="G290" s="56">
        <v>0</v>
      </c>
      <c r="H290" s="57">
        <v>0</v>
      </c>
    </row>
    <row r="291" spans="1:8" ht="20.25">
      <c r="A291" s="137">
        <v>6</v>
      </c>
      <c r="B291" s="147" t="s">
        <v>83</v>
      </c>
      <c r="C291" s="54">
        <v>8</v>
      </c>
      <c r="D291" s="58">
        <v>147.9</v>
      </c>
      <c r="E291" s="56">
        <v>10.918</v>
      </c>
      <c r="F291" s="56">
        <v>43.672</v>
      </c>
      <c r="G291" s="56">
        <v>66.894</v>
      </c>
      <c r="H291" s="57">
        <v>35</v>
      </c>
    </row>
    <row r="292" spans="1:8" ht="20.25">
      <c r="A292" s="21">
        <v>7</v>
      </c>
      <c r="B292" s="147" t="s">
        <v>82</v>
      </c>
      <c r="C292" s="54">
        <v>1</v>
      </c>
      <c r="D292" s="58">
        <v>32.54</v>
      </c>
      <c r="E292" s="56">
        <v>0</v>
      </c>
      <c r="F292" s="56">
        <v>0</v>
      </c>
      <c r="G292" s="56">
        <v>0</v>
      </c>
      <c r="H292" s="57">
        <v>0</v>
      </c>
    </row>
    <row r="293" spans="1:8" ht="20.25">
      <c r="A293" s="137">
        <v>8</v>
      </c>
      <c r="B293" s="147" t="s">
        <v>93</v>
      </c>
      <c r="C293" s="54">
        <v>4</v>
      </c>
      <c r="D293" s="58">
        <v>329.4</v>
      </c>
      <c r="E293" s="56">
        <v>0.569</v>
      </c>
      <c r="F293" s="56">
        <v>0.569</v>
      </c>
      <c r="G293" s="56">
        <v>96.381</v>
      </c>
      <c r="H293" s="57">
        <v>20</v>
      </c>
    </row>
    <row r="294" spans="1:8" ht="20.25">
      <c r="A294" s="21">
        <v>9</v>
      </c>
      <c r="B294" s="147" t="s">
        <v>90</v>
      </c>
      <c r="C294" s="54">
        <v>2</v>
      </c>
      <c r="D294" s="58">
        <v>15.98</v>
      </c>
      <c r="E294" s="56">
        <v>0</v>
      </c>
      <c r="F294" s="56">
        <v>0</v>
      </c>
      <c r="G294" s="56">
        <v>20.51</v>
      </c>
      <c r="H294" s="57">
        <v>15</v>
      </c>
    </row>
    <row r="295" spans="1:8" ht="20.25">
      <c r="A295" s="137">
        <v>10</v>
      </c>
      <c r="B295" s="147" t="s">
        <v>70</v>
      </c>
      <c r="C295" s="54">
        <v>32</v>
      </c>
      <c r="D295" s="58">
        <v>610</v>
      </c>
      <c r="E295" s="56">
        <v>50.16</v>
      </c>
      <c r="F295" s="56">
        <v>75.24</v>
      </c>
      <c r="G295" s="56">
        <v>2601.936</v>
      </c>
      <c r="H295" s="57">
        <v>160</v>
      </c>
    </row>
    <row r="296" spans="1:8" ht="20.25">
      <c r="A296" s="21">
        <v>11</v>
      </c>
      <c r="B296" s="147" t="s">
        <v>72</v>
      </c>
      <c r="C296" s="54">
        <v>4</v>
      </c>
      <c r="D296" s="58">
        <v>1855.17</v>
      </c>
      <c r="E296" s="56">
        <v>0</v>
      </c>
      <c r="F296" s="56">
        <v>0</v>
      </c>
      <c r="G296" s="56">
        <v>777.539</v>
      </c>
      <c r="H296" s="57">
        <v>0</v>
      </c>
    </row>
    <row r="297" spans="1:8" ht="20.25">
      <c r="A297" s="137">
        <v>12</v>
      </c>
      <c r="B297" s="147" t="s">
        <v>89</v>
      </c>
      <c r="C297" s="54">
        <v>3</v>
      </c>
      <c r="D297" s="58">
        <v>49</v>
      </c>
      <c r="E297" s="56">
        <v>0.067</v>
      </c>
      <c r="F297" s="56">
        <v>0.067</v>
      </c>
      <c r="G297" s="56">
        <v>31.977</v>
      </c>
      <c r="H297" s="57">
        <v>10</v>
      </c>
    </row>
    <row r="298" spans="1:8" ht="20.25">
      <c r="A298" s="21">
        <v>13</v>
      </c>
      <c r="B298" s="147" t="s">
        <v>75</v>
      </c>
      <c r="C298" s="54">
        <v>16</v>
      </c>
      <c r="D298" s="58">
        <v>239</v>
      </c>
      <c r="E298" s="56">
        <v>98.498</v>
      </c>
      <c r="F298" s="56">
        <v>147.747</v>
      </c>
      <c r="G298" s="56">
        <v>1787.362</v>
      </c>
      <c r="H298" s="57">
        <v>200</v>
      </c>
    </row>
    <row r="299" spans="1:8" ht="20.25">
      <c r="A299" s="137">
        <v>14</v>
      </c>
      <c r="B299" s="147" t="s">
        <v>87</v>
      </c>
      <c r="C299" s="54">
        <v>18</v>
      </c>
      <c r="D299" s="58">
        <f>252.59+29</f>
        <v>281.59000000000003</v>
      </c>
      <c r="E299" s="56">
        <v>28.625</v>
      </c>
      <c r="F299" s="56">
        <v>42.937</v>
      </c>
      <c r="G299" s="56">
        <v>1714.021</v>
      </c>
      <c r="H299" s="57">
        <v>150</v>
      </c>
    </row>
    <row r="300" spans="1:8" ht="20.25">
      <c r="A300" s="21">
        <v>15</v>
      </c>
      <c r="B300" s="147" t="s">
        <v>76</v>
      </c>
      <c r="C300" s="54">
        <v>6</v>
      </c>
      <c r="D300" s="58">
        <v>433</v>
      </c>
      <c r="E300" s="56">
        <v>0.22</v>
      </c>
      <c r="F300" s="56">
        <v>0.55</v>
      </c>
      <c r="G300" s="56">
        <v>14.962</v>
      </c>
      <c r="H300" s="57">
        <v>30</v>
      </c>
    </row>
    <row r="301" spans="1:8" ht="18.75">
      <c r="A301" s="87"/>
      <c r="B301" s="148" t="s">
        <v>143</v>
      </c>
      <c r="C301" s="13">
        <f>SUM(C286:C300)</f>
        <v>108</v>
      </c>
      <c r="D301" s="13">
        <f>SUM(D286:D300)</f>
        <v>4943.84</v>
      </c>
      <c r="E301" s="13">
        <v>1222.282</v>
      </c>
      <c r="F301" s="13">
        <f>SUM(F286:F300)</f>
        <v>26056.983</v>
      </c>
      <c r="G301" s="13">
        <f>SUM(G286:G300)</f>
        <v>114063.36599999998</v>
      </c>
      <c r="H301" s="13">
        <f>SUM(H286:H300)</f>
        <v>3245</v>
      </c>
    </row>
    <row r="302" spans="1:8" ht="20.25">
      <c r="A302" s="75"/>
      <c r="B302" s="149"/>
      <c r="C302" s="90"/>
      <c r="D302" s="91"/>
      <c r="E302" s="92"/>
      <c r="F302" s="92"/>
      <c r="G302" s="92"/>
      <c r="H302" s="93"/>
    </row>
    <row r="303" spans="1:8" ht="23.25">
      <c r="A303" s="75"/>
      <c r="B303" s="149"/>
      <c r="C303" s="90"/>
      <c r="D303" s="150" t="s">
        <v>159</v>
      </c>
      <c r="E303" s="92"/>
      <c r="F303" s="92"/>
      <c r="G303" s="92"/>
      <c r="H303" s="93"/>
    </row>
    <row r="304" spans="1:8" ht="31.5">
      <c r="A304" s="36" t="s">
        <v>3</v>
      </c>
      <c r="B304" s="37"/>
      <c r="C304" s="38" t="s">
        <v>5</v>
      </c>
      <c r="D304" s="39" t="s">
        <v>6</v>
      </c>
      <c r="E304" s="40" t="s">
        <v>7</v>
      </c>
      <c r="F304" s="41" t="s">
        <v>8</v>
      </c>
      <c r="G304" s="41" t="s">
        <v>9</v>
      </c>
      <c r="H304" s="42" t="s">
        <v>63</v>
      </c>
    </row>
    <row r="305" spans="1:8" ht="15.75">
      <c r="A305" s="21"/>
      <c r="B305" s="43"/>
      <c r="C305" s="44"/>
      <c r="D305" s="45" t="s">
        <v>11</v>
      </c>
      <c r="E305" s="46" t="s">
        <v>64</v>
      </c>
      <c r="F305" s="46" t="s">
        <v>65</v>
      </c>
      <c r="G305" s="46" t="s">
        <v>66</v>
      </c>
      <c r="H305" s="47" t="s">
        <v>15</v>
      </c>
    </row>
    <row r="306" spans="1:8" ht="20.25">
      <c r="A306" s="21">
        <v>1</v>
      </c>
      <c r="B306" s="147" t="s">
        <v>83</v>
      </c>
      <c r="C306" s="54">
        <v>2</v>
      </c>
      <c r="D306" s="58">
        <v>157.8</v>
      </c>
      <c r="E306" s="56">
        <v>57.7</v>
      </c>
      <c r="F306" s="56">
        <v>202.12</v>
      </c>
      <c r="G306" s="56">
        <v>6820</v>
      </c>
      <c r="H306" s="57">
        <v>420</v>
      </c>
    </row>
    <row r="307" spans="1:8" ht="20.25">
      <c r="A307" s="21">
        <v>2</v>
      </c>
      <c r="B307" s="147" t="s">
        <v>112</v>
      </c>
      <c r="C307" s="54">
        <v>0</v>
      </c>
      <c r="D307" s="58">
        <v>0</v>
      </c>
      <c r="E307" s="56">
        <v>0</v>
      </c>
      <c r="F307" s="56">
        <v>0</v>
      </c>
      <c r="G307" s="56">
        <v>0</v>
      </c>
      <c r="H307" s="57">
        <v>0</v>
      </c>
    </row>
    <row r="308" spans="1:8" ht="19.5" customHeight="1">
      <c r="A308" s="21">
        <v>3</v>
      </c>
      <c r="B308" s="147" t="s">
        <v>72</v>
      </c>
      <c r="C308" s="54">
        <v>3</v>
      </c>
      <c r="D308" s="58">
        <v>1115.3</v>
      </c>
      <c r="E308" s="56">
        <v>6731.93</v>
      </c>
      <c r="F308" s="56">
        <v>6395.33</v>
      </c>
      <c r="G308" s="56">
        <v>305115</v>
      </c>
      <c r="H308" s="57">
        <v>200</v>
      </c>
    </row>
    <row r="309" spans="1:8" ht="18" customHeight="1">
      <c r="A309" s="21">
        <v>4</v>
      </c>
      <c r="B309" s="147" t="s">
        <v>75</v>
      </c>
      <c r="C309" s="54">
        <v>1</v>
      </c>
      <c r="D309" s="58">
        <v>5</v>
      </c>
      <c r="E309" s="56">
        <v>3.45</v>
      </c>
      <c r="F309" s="56">
        <v>3.45</v>
      </c>
      <c r="G309" s="56">
        <v>69</v>
      </c>
      <c r="H309" s="57">
        <v>4</v>
      </c>
    </row>
    <row r="310" spans="1:8" ht="20.25">
      <c r="A310" s="21">
        <v>5</v>
      </c>
      <c r="B310" s="147" t="s">
        <v>78</v>
      </c>
      <c r="C310" s="54">
        <v>1</v>
      </c>
      <c r="D310" s="58">
        <v>49.48</v>
      </c>
      <c r="E310" s="56">
        <v>130.39</v>
      </c>
      <c r="F310" s="56">
        <f>1173.51-3.28</f>
        <v>1170.23</v>
      </c>
      <c r="G310" s="56">
        <v>10000</v>
      </c>
      <c r="H310" s="57">
        <v>200</v>
      </c>
    </row>
    <row r="311" spans="1:8" ht="18.75">
      <c r="A311" s="21"/>
      <c r="B311" s="148" t="s">
        <v>143</v>
      </c>
      <c r="C311" s="13">
        <f aca="true" t="shared" si="27" ref="C311:H311">SUM(C306:C310)</f>
        <v>7</v>
      </c>
      <c r="D311" s="13">
        <f t="shared" si="27"/>
        <v>1327.58</v>
      </c>
      <c r="E311" s="13">
        <f t="shared" si="27"/>
        <v>6923.47</v>
      </c>
      <c r="F311" s="13">
        <f t="shared" si="27"/>
        <v>7771.129999999999</v>
      </c>
      <c r="G311" s="15">
        <f t="shared" si="27"/>
        <v>322004</v>
      </c>
      <c r="H311" s="13">
        <f t="shared" si="27"/>
        <v>824</v>
      </c>
    </row>
    <row r="312" spans="1:8" ht="20.25">
      <c r="A312" s="75"/>
      <c r="B312" s="149"/>
      <c r="C312" s="90"/>
      <c r="D312" s="91"/>
      <c r="E312" s="92"/>
      <c r="F312" s="92"/>
      <c r="G312" s="92"/>
      <c r="H312" s="93"/>
    </row>
    <row r="313" spans="1:8" ht="23.25">
      <c r="A313" s="75"/>
      <c r="B313" s="149"/>
      <c r="C313" s="90"/>
      <c r="D313" s="150" t="s">
        <v>154</v>
      </c>
      <c r="E313" s="92"/>
      <c r="F313" s="92"/>
      <c r="G313" s="92"/>
      <c r="H313" s="93"/>
    </row>
    <row r="314" spans="1:8" ht="31.5">
      <c r="A314" s="36" t="s">
        <v>3</v>
      </c>
      <c r="B314" s="37"/>
      <c r="C314" s="38" t="s">
        <v>5</v>
      </c>
      <c r="D314" s="39" t="s">
        <v>6</v>
      </c>
      <c r="E314" s="40" t="s">
        <v>7</v>
      </c>
      <c r="F314" s="41" t="s">
        <v>8</v>
      </c>
      <c r="G314" s="41" t="s">
        <v>9</v>
      </c>
      <c r="H314" s="42" t="s">
        <v>63</v>
      </c>
    </row>
    <row r="315" spans="1:8" ht="15.75">
      <c r="A315" s="21"/>
      <c r="B315" s="43"/>
      <c r="C315" s="44"/>
      <c r="D315" s="45" t="s">
        <v>11</v>
      </c>
      <c r="E315" s="46" t="s">
        <v>64</v>
      </c>
      <c r="F315" s="46" t="s">
        <v>65</v>
      </c>
      <c r="G315" s="46" t="s">
        <v>66</v>
      </c>
      <c r="H315" s="47" t="s">
        <v>15</v>
      </c>
    </row>
    <row r="316" spans="1:8" ht="20.25">
      <c r="A316" s="21">
        <v>1</v>
      </c>
      <c r="B316" s="147" t="s">
        <v>68</v>
      </c>
      <c r="C316" s="54">
        <v>6</v>
      </c>
      <c r="D316" s="58">
        <v>234.13</v>
      </c>
      <c r="E316" s="56">
        <v>0</v>
      </c>
      <c r="F316" s="56">
        <v>0</v>
      </c>
      <c r="G316" s="56">
        <v>0</v>
      </c>
      <c r="H316" s="57">
        <v>0</v>
      </c>
    </row>
    <row r="317" spans="1:8" ht="20.25">
      <c r="A317" s="21">
        <v>2</v>
      </c>
      <c r="B317" s="147" t="s">
        <v>82</v>
      </c>
      <c r="C317" s="54">
        <v>10</v>
      </c>
      <c r="D317" s="58">
        <v>640.75</v>
      </c>
      <c r="E317" s="56">
        <v>83.763</v>
      </c>
      <c r="F317" s="56">
        <v>251.289</v>
      </c>
      <c r="G317" s="56">
        <v>1940.565</v>
      </c>
      <c r="H317" s="57">
        <v>100</v>
      </c>
    </row>
    <row r="318" spans="1:8" ht="20.25">
      <c r="A318" s="21">
        <v>3</v>
      </c>
      <c r="B318" s="147" t="s">
        <v>70</v>
      </c>
      <c r="C318" s="54">
        <v>0</v>
      </c>
      <c r="D318" s="58">
        <v>0</v>
      </c>
      <c r="E318" s="56">
        <v>30.574</v>
      </c>
      <c r="F318" s="56">
        <v>36.688</v>
      </c>
      <c r="G318" s="56">
        <v>0</v>
      </c>
      <c r="H318" s="57">
        <v>0</v>
      </c>
    </row>
    <row r="319" spans="1:8" s="136" customFormat="1" ht="20.25">
      <c r="A319" s="21">
        <v>4</v>
      </c>
      <c r="B319" s="147" t="s">
        <v>101</v>
      </c>
      <c r="C319" s="54">
        <v>1</v>
      </c>
      <c r="D319" s="58">
        <v>161.55</v>
      </c>
      <c r="E319" s="56">
        <v>0</v>
      </c>
      <c r="F319" s="56">
        <v>0</v>
      </c>
      <c r="G319" s="56">
        <v>0</v>
      </c>
      <c r="H319" s="57">
        <v>0</v>
      </c>
    </row>
    <row r="320" spans="1:8" ht="20.25">
      <c r="A320" s="21">
        <v>5</v>
      </c>
      <c r="B320" s="147" t="s">
        <v>72</v>
      </c>
      <c r="C320" s="54">
        <v>3</v>
      </c>
      <c r="D320" s="58">
        <v>1736.53</v>
      </c>
      <c r="E320" s="56">
        <v>5985.41</v>
      </c>
      <c r="F320" s="56">
        <v>5386.861</v>
      </c>
      <c r="G320" s="56">
        <v>282460.006</v>
      </c>
      <c r="H320" s="57">
        <v>1500</v>
      </c>
    </row>
    <row r="321" spans="1:8" s="75" customFormat="1" ht="20.25">
      <c r="A321" s="21">
        <v>6</v>
      </c>
      <c r="B321" s="147" t="s">
        <v>73</v>
      </c>
      <c r="C321" s="54">
        <v>3</v>
      </c>
      <c r="D321" s="58">
        <v>110</v>
      </c>
      <c r="E321" s="56">
        <v>0</v>
      </c>
      <c r="F321" s="56">
        <v>0</v>
      </c>
      <c r="G321" s="56">
        <v>2.05</v>
      </c>
      <c r="H321" s="57">
        <v>2</v>
      </c>
    </row>
    <row r="322" spans="1:8" ht="18" customHeight="1">
      <c r="A322" s="21">
        <v>7</v>
      </c>
      <c r="B322" s="147" t="s">
        <v>75</v>
      </c>
      <c r="C322" s="54">
        <v>12</v>
      </c>
      <c r="D322" s="58">
        <v>299.349</v>
      </c>
      <c r="E322" s="56">
        <v>20.382</v>
      </c>
      <c r="F322" s="56">
        <v>16.306</v>
      </c>
      <c r="G322" s="56">
        <v>1391.523</v>
      </c>
      <c r="H322" s="57">
        <v>178</v>
      </c>
    </row>
    <row r="323" spans="1:8" ht="20.25">
      <c r="A323" s="21">
        <v>8</v>
      </c>
      <c r="B323" s="147" t="s">
        <v>78</v>
      </c>
      <c r="C323" s="54">
        <v>1</v>
      </c>
      <c r="D323" s="58">
        <v>4</v>
      </c>
      <c r="E323" s="56">
        <v>0.41</v>
      </c>
      <c r="F323" s="56">
        <v>3.28</v>
      </c>
      <c r="G323" s="56">
        <v>20.4</v>
      </c>
      <c r="H323" s="57">
        <v>12</v>
      </c>
    </row>
    <row r="324" spans="1:8" ht="20.25">
      <c r="A324" s="21">
        <v>9</v>
      </c>
      <c r="B324" s="147" t="s">
        <v>79</v>
      </c>
      <c r="C324" s="54">
        <v>0</v>
      </c>
      <c r="D324" s="58">
        <v>0</v>
      </c>
      <c r="E324" s="56">
        <v>0</v>
      </c>
      <c r="F324" s="56">
        <v>0</v>
      </c>
      <c r="G324" s="56">
        <f>0.55+0.3+7+1.775</f>
        <v>9.625</v>
      </c>
      <c r="H324" s="57">
        <v>0</v>
      </c>
    </row>
    <row r="325" spans="1:8" ht="18.75">
      <c r="A325" s="21"/>
      <c r="B325" s="148" t="s">
        <v>143</v>
      </c>
      <c r="C325" s="13">
        <f aca="true" t="shared" si="28" ref="C325:H325">SUM(C316:C324)</f>
        <v>36</v>
      </c>
      <c r="D325" s="13">
        <f t="shared" si="28"/>
        <v>3186.309</v>
      </c>
      <c r="E325" s="13">
        <f t="shared" si="28"/>
        <v>6120.539</v>
      </c>
      <c r="F325" s="13">
        <f t="shared" si="28"/>
        <v>5694.423999999999</v>
      </c>
      <c r="G325" s="13">
        <f t="shared" si="28"/>
        <v>285824.169</v>
      </c>
      <c r="H325" s="13">
        <f t="shared" si="28"/>
        <v>1792</v>
      </c>
    </row>
    <row r="326" spans="1:8" ht="15.75" customHeight="1">
      <c r="A326" s="75"/>
      <c r="B326" s="149"/>
      <c r="C326" s="90"/>
      <c r="D326" s="91"/>
      <c r="E326" s="92"/>
      <c r="F326" s="92"/>
      <c r="G326" s="92"/>
      <c r="H326" s="93"/>
    </row>
    <row r="327" spans="1:8" ht="23.25">
      <c r="A327" s="75"/>
      <c r="B327" s="149"/>
      <c r="C327" s="90"/>
      <c r="D327" s="150" t="s">
        <v>151</v>
      </c>
      <c r="E327" s="92"/>
      <c r="F327" s="92"/>
      <c r="G327" s="92"/>
      <c r="H327" s="93"/>
    </row>
    <row r="328" spans="1:8" ht="25.5" customHeight="1">
      <c r="A328" s="36" t="s">
        <v>3</v>
      </c>
      <c r="B328" s="37"/>
      <c r="C328" s="38" t="s">
        <v>5</v>
      </c>
      <c r="D328" s="39" t="s">
        <v>6</v>
      </c>
      <c r="E328" s="40" t="s">
        <v>7</v>
      </c>
      <c r="F328" s="41" t="s">
        <v>8</v>
      </c>
      <c r="G328" s="41" t="s">
        <v>9</v>
      </c>
      <c r="H328" s="42" t="s">
        <v>63</v>
      </c>
    </row>
    <row r="329" spans="1:8" ht="15.75">
      <c r="A329" s="21"/>
      <c r="B329" s="43"/>
      <c r="C329" s="44"/>
      <c r="D329" s="45" t="s">
        <v>11</v>
      </c>
      <c r="E329" s="46" t="s">
        <v>64</v>
      </c>
      <c r="F329" s="46" t="s">
        <v>65</v>
      </c>
      <c r="G329" s="46" t="s">
        <v>66</v>
      </c>
      <c r="H329" s="47" t="s">
        <v>15</v>
      </c>
    </row>
    <row r="330" spans="1:8" s="136" customFormat="1" ht="18" customHeight="1">
      <c r="A330" s="21">
        <v>1</v>
      </c>
      <c r="B330" s="147" t="s">
        <v>67</v>
      </c>
      <c r="C330" s="54">
        <v>1</v>
      </c>
      <c r="D330" s="58">
        <v>3620</v>
      </c>
      <c r="E330" s="56">
        <v>812</v>
      </c>
      <c r="F330" s="56">
        <v>8769.6</v>
      </c>
      <c r="G330" s="56">
        <v>339152</v>
      </c>
      <c r="H330" s="57">
        <v>1050</v>
      </c>
    </row>
    <row r="331" spans="1:8" ht="18" customHeight="1">
      <c r="A331" s="21">
        <v>2</v>
      </c>
      <c r="B331" s="147" t="s">
        <v>68</v>
      </c>
      <c r="C331" s="54">
        <v>4</v>
      </c>
      <c r="D331" s="58">
        <v>298.58</v>
      </c>
      <c r="E331" s="56">
        <v>0</v>
      </c>
      <c r="F331" s="56">
        <v>0</v>
      </c>
      <c r="G331" s="56">
        <v>30</v>
      </c>
      <c r="H331" s="57">
        <v>8</v>
      </c>
    </row>
    <row r="332" spans="1:8" ht="18" customHeight="1">
      <c r="A332" s="21">
        <v>3</v>
      </c>
      <c r="B332" s="147" t="s">
        <v>85</v>
      </c>
      <c r="C332" s="54">
        <v>1</v>
      </c>
      <c r="D332" s="58">
        <v>31</v>
      </c>
      <c r="E332" s="56">
        <v>6.712</v>
      </c>
      <c r="F332" s="56">
        <v>13.424</v>
      </c>
      <c r="G332" s="56">
        <v>423</v>
      </c>
      <c r="H332" s="57">
        <v>12</v>
      </c>
    </row>
    <row r="333" spans="1:8" ht="18" customHeight="1">
      <c r="A333" s="21">
        <v>4</v>
      </c>
      <c r="B333" s="147" t="s">
        <v>107</v>
      </c>
      <c r="C333" s="54">
        <v>0</v>
      </c>
      <c r="D333" s="58">
        <v>0</v>
      </c>
      <c r="E333" s="56">
        <v>0</v>
      </c>
      <c r="F333" s="56">
        <v>0</v>
      </c>
      <c r="G333" s="56">
        <v>12241</v>
      </c>
      <c r="H333" s="57">
        <v>0</v>
      </c>
    </row>
    <row r="334" spans="1:8" ht="18" customHeight="1">
      <c r="A334" s="21">
        <v>5</v>
      </c>
      <c r="B334" s="147" t="s">
        <v>83</v>
      </c>
      <c r="C334" s="54">
        <v>10</v>
      </c>
      <c r="D334" s="58">
        <v>156.72</v>
      </c>
      <c r="E334" s="56">
        <v>26</v>
      </c>
      <c r="F334" s="56">
        <v>54.608</v>
      </c>
      <c r="G334" s="56">
        <v>1839</v>
      </c>
      <c r="H334" s="57">
        <v>160</v>
      </c>
    </row>
    <row r="335" spans="1:8" ht="18" customHeight="1">
      <c r="A335" s="21">
        <v>6</v>
      </c>
      <c r="B335" s="147" t="s">
        <v>93</v>
      </c>
      <c r="C335" s="54">
        <v>0</v>
      </c>
      <c r="D335" s="58">
        <v>0</v>
      </c>
      <c r="E335" s="56">
        <v>48.066</v>
      </c>
      <c r="F335" s="56">
        <f>134.584</f>
        <v>134.584</v>
      </c>
      <c r="G335" s="56">
        <v>4437</v>
      </c>
      <c r="H335" s="57">
        <v>140</v>
      </c>
    </row>
    <row r="336" spans="1:8" ht="18" customHeight="1">
      <c r="A336" s="21">
        <v>7</v>
      </c>
      <c r="B336" s="147" t="s">
        <v>112</v>
      </c>
      <c r="C336" s="54">
        <v>0</v>
      </c>
      <c r="D336" s="58">
        <v>0</v>
      </c>
      <c r="E336" s="56">
        <v>0</v>
      </c>
      <c r="F336" s="56">
        <v>0</v>
      </c>
      <c r="G336" s="56">
        <v>10</v>
      </c>
      <c r="H336" s="57">
        <v>0</v>
      </c>
    </row>
    <row r="337" spans="1:8" ht="18" customHeight="1">
      <c r="A337" s="21">
        <v>8</v>
      </c>
      <c r="B337" s="147" t="s">
        <v>72</v>
      </c>
      <c r="C337" s="54">
        <v>2</v>
      </c>
      <c r="D337" s="58">
        <v>923.27</v>
      </c>
      <c r="E337" s="56">
        <v>0</v>
      </c>
      <c r="F337" s="56">
        <v>0</v>
      </c>
      <c r="G337" s="56">
        <v>0</v>
      </c>
      <c r="H337" s="57">
        <v>0</v>
      </c>
    </row>
    <row r="338" spans="1:8" ht="18" customHeight="1">
      <c r="A338" s="21">
        <v>9</v>
      </c>
      <c r="B338" s="147" t="s">
        <v>89</v>
      </c>
      <c r="C338" s="54">
        <v>5</v>
      </c>
      <c r="D338" s="58">
        <v>182.2</v>
      </c>
      <c r="E338" s="56">
        <v>18.29</v>
      </c>
      <c r="F338" s="56">
        <v>16.46</v>
      </c>
      <c r="G338" s="56">
        <v>120</v>
      </c>
      <c r="H338" s="57">
        <v>30</v>
      </c>
    </row>
    <row r="339" spans="1:8" ht="18" customHeight="1">
      <c r="A339" s="21">
        <v>10</v>
      </c>
      <c r="B339" s="147" t="s">
        <v>86</v>
      </c>
      <c r="C339" s="54">
        <v>5</v>
      </c>
      <c r="D339" s="58">
        <v>148.85</v>
      </c>
      <c r="E339" s="56">
        <v>12.963</v>
      </c>
      <c r="F339" s="56">
        <v>23.334</v>
      </c>
      <c r="G339" s="56">
        <v>103</v>
      </c>
      <c r="H339" s="57">
        <v>180</v>
      </c>
    </row>
    <row r="340" spans="1:8" ht="18" customHeight="1">
      <c r="A340" s="21">
        <v>11</v>
      </c>
      <c r="B340" s="147" t="s">
        <v>75</v>
      </c>
      <c r="C340" s="54">
        <v>8</v>
      </c>
      <c r="D340" s="58">
        <v>55.37</v>
      </c>
      <c r="E340" s="56">
        <v>5.4</v>
      </c>
      <c r="F340" s="56">
        <v>19.44</v>
      </c>
      <c r="G340" s="56">
        <v>1008</v>
      </c>
      <c r="H340" s="57">
        <v>0</v>
      </c>
    </row>
    <row r="341" spans="1:8" s="136" customFormat="1" ht="18" customHeight="1">
      <c r="A341" s="21">
        <v>12</v>
      </c>
      <c r="B341" s="147" t="s">
        <v>137</v>
      </c>
      <c r="C341" s="54">
        <v>6</v>
      </c>
      <c r="D341" s="58">
        <v>2533.98</v>
      </c>
      <c r="E341" s="56">
        <v>1819.027</v>
      </c>
      <c r="F341" s="56">
        <v>21828.324</v>
      </c>
      <c r="G341" s="56">
        <f>301520-1008</f>
        <v>300512</v>
      </c>
      <c r="H341" s="57">
        <v>940</v>
      </c>
    </row>
    <row r="342" spans="1:8" ht="18" customHeight="1">
      <c r="A342" s="21">
        <v>13</v>
      </c>
      <c r="B342" s="147" t="s">
        <v>139</v>
      </c>
      <c r="C342" s="54">
        <v>1</v>
      </c>
      <c r="D342" s="58">
        <v>50.5</v>
      </c>
      <c r="E342" s="56">
        <v>0</v>
      </c>
      <c r="F342" s="56">
        <v>0</v>
      </c>
      <c r="G342" s="56">
        <v>0</v>
      </c>
      <c r="H342" s="57">
        <v>0</v>
      </c>
    </row>
    <row r="343" spans="1:8" s="75" customFormat="1" ht="18" customHeight="1">
      <c r="A343" s="21">
        <v>14</v>
      </c>
      <c r="B343" s="147" t="s">
        <v>76</v>
      </c>
      <c r="C343" s="54">
        <v>45</v>
      </c>
      <c r="D343" s="58">
        <v>2379.06</v>
      </c>
      <c r="E343" s="56">
        <v>35.96</v>
      </c>
      <c r="F343" s="56">
        <f>179.795</f>
        <v>179.795</v>
      </c>
      <c r="G343" s="56">
        <v>7567</v>
      </c>
      <c r="H343" s="57">
        <v>959</v>
      </c>
    </row>
    <row r="344" spans="1:8" ht="18" customHeight="1">
      <c r="A344" s="21">
        <v>15</v>
      </c>
      <c r="B344" s="147" t="s">
        <v>78</v>
      </c>
      <c r="C344" s="54">
        <v>2</v>
      </c>
      <c r="D344" s="58">
        <v>203.8</v>
      </c>
      <c r="E344" s="56">
        <v>0</v>
      </c>
      <c r="F344" s="56">
        <v>0</v>
      </c>
      <c r="G344" s="56">
        <v>0</v>
      </c>
      <c r="H344" s="57">
        <v>0</v>
      </c>
    </row>
    <row r="345" spans="1:8" ht="18.75">
      <c r="A345" s="21"/>
      <c r="B345" s="148" t="s">
        <v>143</v>
      </c>
      <c r="C345" s="13">
        <f aca="true" t="shared" si="29" ref="C345:H345">SUM(C330:C344)</f>
        <v>90</v>
      </c>
      <c r="D345" s="13">
        <f t="shared" si="29"/>
        <v>10583.329999999998</v>
      </c>
      <c r="E345" s="13">
        <f t="shared" si="29"/>
        <v>2784.418</v>
      </c>
      <c r="F345" s="13">
        <f t="shared" si="29"/>
        <v>31039.569000000003</v>
      </c>
      <c r="G345" s="15">
        <f t="shared" si="29"/>
        <v>667442</v>
      </c>
      <c r="H345" s="13">
        <f t="shared" si="29"/>
        <v>3479</v>
      </c>
    </row>
    <row r="346" spans="1:8" ht="12.75" customHeight="1">
      <c r="A346" s="21"/>
      <c r="B346" s="147"/>
      <c r="C346" s="54"/>
      <c r="D346" s="58"/>
      <c r="E346" s="56"/>
      <c r="F346" s="56"/>
      <c r="G346" s="56"/>
      <c r="H346" s="57"/>
    </row>
    <row r="347" spans="1:8" ht="18.75">
      <c r="A347" s="139"/>
      <c r="B347" s="148" t="s">
        <v>182</v>
      </c>
      <c r="C347" s="141">
        <f aca="true" t="shared" si="30" ref="C347:H347">+C11+C20+C27+C35+C46+C52+C66+C75+C83+C89+C99+C108+C126+C139+C148+C167+C176+C185+C193+C204+C217+C224+C231+C240+C247+C255+C263+C275+C281+C301+C311+C325+C345</f>
        <v>1558</v>
      </c>
      <c r="D347" s="141">
        <f t="shared" si="30"/>
        <v>92948.651</v>
      </c>
      <c r="E347" s="141">
        <f t="shared" si="30"/>
        <v>44503.00199999999</v>
      </c>
      <c r="F347" s="141">
        <f t="shared" si="30"/>
        <v>139282.3103</v>
      </c>
      <c r="G347" s="154">
        <f t="shared" si="30"/>
        <v>8130334.865</v>
      </c>
      <c r="H347" s="141">
        <f t="shared" si="30"/>
        <v>27035</v>
      </c>
    </row>
  </sheetData>
  <mergeCells count="1">
    <mergeCell ref="A2:H2"/>
  </mergeCells>
  <printOptions/>
  <pageMargins left="0.75" right="0.57" top="0.6" bottom="0.6" header="0.5" footer="0.5"/>
  <pageSetup horizontalDpi="120" verticalDpi="120" orientation="portrait" paperSize="9" scale="89" r:id="rId1"/>
  <headerFooter alignWithMargins="0">
    <oddHeader>&amp;COFFICEWISE MAJOR MINERAL STAT. YEAR 2006-07</oddHeader>
    <oddFooter>&amp;L&amp;Z&amp;F&amp;R&amp;P of &amp;N</oddFooter>
  </headerFooter>
  <rowBreaks count="8" manualBreakCount="8">
    <brk id="36" max="255" man="1"/>
    <brk id="76" max="255" man="1"/>
    <brk id="109" max="255" man="1"/>
    <brk id="149" max="255" man="1"/>
    <brk id="186" max="255" man="1"/>
    <brk id="225" max="255" man="1"/>
    <brk id="264" max="255" man="1"/>
    <brk id="30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314"/>
  <sheetViews>
    <sheetView tabSelected="1" zoomScaleSheetLayoutView="85" workbookViewId="0" topLeftCell="A37">
      <selection activeCell="A1" sqref="A1:H1"/>
    </sheetView>
  </sheetViews>
  <sheetFormatPr defaultColWidth="9.140625" defaultRowHeight="12.75"/>
  <cols>
    <col min="1" max="1" width="5.57421875" style="1" customWidth="1"/>
    <col min="2" max="2" width="12.7109375" style="130" customWidth="1"/>
    <col min="3" max="3" width="6.8515625" style="23" customWidth="1"/>
    <col min="4" max="4" width="11.421875" style="24" customWidth="1"/>
    <col min="5" max="5" width="13.28125" style="25" customWidth="1"/>
    <col min="6" max="6" width="13.57421875" style="25" customWidth="1"/>
    <col min="7" max="7" width="15.00390625" style="25" customWidth="1"/>
    <col min="8" max="8" width="10.140625" style="26" customWidth="1"/>
    <col min="9" max="9" width="9.7109375" style="1" bestFit="1" customWidth="1"/>
    <col min="10" max="16384" width="9.140625" style="1" customWidth="1"/>
  </cols>
  <sheetData>
    <row r="1" spans="1:8" ht="27.75">
      <c r="A1" s="228" t="s">
        <v>59</v>
      </c>
      <c r="B1" s="228"/>
      <c r="C1" s="228"/>
      <c r="D1" s="228"/>
      <c r="E1" s="228"/>
      <c r="F1" s="228"/>
      <c r="G1" s="228"/>
      <c r="H1" s="228"/>
    </row>
    <row r="2" spans="1:8" ht="27.75">
      <c r="A2" s="29"/>
      <c r="B2" s="29"/>
      <c r="C2" s="29"/>
      <c r="D2" s="29"/>
      <c r="E2" s="29"/>
      <c r="F2" s="29"/>
      <c r="G2" s="29"/>
      <c r="H2" s="29"/>
    </row>
    <row r="3" spans="1:8" ht="15.75">
      <c r="A3" s="30"/>
      <c r="B3" s="31"/>
      <c r="C3" s="32"/>
      <c r="D3" s="33" t="s">
        <v>60</v>
      </c>
      <c r="E3" s="34"/>
      <c r="F3" s="34"/>
      <c r="G3" s="34"/>
      <c r="H3" s="35"/>
    </row>
    <row r="4" spans="1:8" ht="31.5">
      <c r="A4" s="36" t="s">
        <v>61</v>
      </c>
      <c r="B4" s="37" t="s">
        <v>62</v>
      </c>
      <c r="C4" s="38" t="s">
        <v>5</v>
      </c>
      <c r="D4" s="39" t="s">
        <v>6</v>
      </c>
      <c r="E4" s="40" t="s">
        <v>7</v>
      </c>
      <c r="F4" s="41" t="s">
        <v>8</v>
      </c>
      <c r="G4" s="41" t="s">
        <v>9</v>
      </c>
      <c r="H4" s="42" t="s">
        <v>63</v>
      </c>
    </row>
    <row r="5" spans="1:8" ht="15.75">
      <c r="A5" s="21"/>
      <c r="B5" s="43"/>
      <c r="C5" s="44"/>
      <c r="D5" s="45" t="s">
        <v>11</v>
      </c>
      <c r="E5" s="46" t="s">
        <v>64</v>
      </c>
      <c r="F5" s="46" t="s">
        <v>65</v>
      </c>
      <c r="G5" s="46" t="s">
        <v>66</v>
      </c>
      <c r="H5" s="47" t="s">
        <v>15</v>
      </c>
    </row>
    <row r="6" spans="1:8" ht="15.75">
      <c r="A6" s="48">
        <v>1</v>
      </c>
      <c r="B6" s="49" t="s">
        <v>67</v>
      </c>
      <c r="C6" s="50">
        <v>1</v>
      </c>
      <c r="D6" s="51">
        <v>480.45</v>
      </c>
      <c r="E6" s="52">
        <v>0</v>
      </c>
      <c r="F6" s="52">
        <v>0</v>
      </c>
      <c r="G6" s="52">
        <v>916.61</v>
      </c>
      <c r="H6" s="53">
        <v>31</v>
      </c>
    </row>
    <row r="7" spans="1:8" ht="15.75">
      <c r="A7" s="21">
        <v>2</v>
      </c>
      <c r="B7" s="43" t="s">
        <v>68</v>
      </c>
      <c r="C7" s="54">
        <v>1</v>
      </c>
      <c r="D7" s="55">
        <v>33.04</v>
      </c>
      <c r="E7" s="56">
        <v>0</v>
      </c>
      <c r="F7" s="56">
        <v>0</v>
      </c>
      <c r="G7" s="56">
        <v>0</v>
      </c>
      <c r="H7" s="57">
        <v>0</v>
      </c>
    </row>
    <row r="8" spans="1:8" ht="15.75" customHeight="1">
      <c r="A8" s="21">
        <v>3</v>
      </c>
      <c r="B8" s="43" t="s">
        <v>69</v>
      </c>
      <c r="C8" s="54">
        <v>2</v>
      </c>
      <c r="D8" s="55">
        <v>54.96</v>
      </c>
      <c r="E8" s="56">
        <v>0</v>
      </c>
      <c r="F8" s="56">
        <v>0</v>
      </c>
      <c r="G8" s="56">
        <v>0</v>
      </c>
      <c r="H8" s="57">
        <v>0</v>
      </c>
    </row>
    <row r="9" spans="1:8" ht="15.75" customHeight="1">
      <c r="A9" s="21">
        <v>4</v>
      </c>
      <c r="B9" s="43" t="s">
        <v>70</v>
      </c>
      <c r="C9" s="54">
        <v>147</v>
      </c>
      <c r="D9" s="55">
        <v>1923.96</v>
      </c>
      <c r="E9" s="56">
        <v>184.321</v>
      </c>
      <c r="F9" s="56">
        <v>387.074</v>
      </c>
      <c r="G9" s="56">
        <v>8802.283000000001</v>
      </c>
      <c r="H9" s="57">
        <v>1580</v>
      </c>
    </row>
    <row r="10" spans="1:8" ht="15.75">
      <c r="A10" s="21">
        <v>5</v>
      </c>
      <c r="B10" s="43" t="s">
        <v>71</v>
      </c>
      <c r="C10" s="54">
        <v>6</v>
      </c>
      <c r="D10" s="58">
        <v>29.14</v>
      </c>
      <c r="E10" s="56">
        <v>0</v>
      </c>
      <c r="F10" s="56">
        <v>0</v>
      </c>
      <c r="G10" s="56">
        <v>3</v>
      </c>
      <c r="H10" s="57">
        <v>2</v>
      </c>
    </row>
    <row r="11" spans="1:8" ht="15.75">
      <c r="A11" s="21">
        <v>6</v>
      </c>
      <c r="B11" s="43" t="s">
        <v>72</v>
      </c>
      <c r="C11" s="54">
        <v>1</v>
      </c>
      <c r="D11" s="58">
        <v>858.8</v>
      </c>
      <c r="E11" s="56">
        <v>1405.532</v>
      </c>
      <c r="F11" s="56">
        <v>2038.021</v>
      </c>
      <c r="G11" s="56">
        <v>61416.776</v>
      </c>
      <c r="H11" s="57">
        <v>72</v>
      </c>
    </row>
    <row r="12" spans="1:8" ht="15.75">
      <c r="A12" s="21">
        <v>7</v>
      </c>
      <c r="B12" s="43" t="s">
        <v>73</v>
      </c>
      <c r="C12" s="54">
        <v>2</v>
      </c>
      <c r="D12" s="58">
        <v>134.5</v>
      </c>
      <c r="E12" s="56">
        <v>0</v>
      </c>
      <c r="F12" s="56">
        <v>0</v>
      </c>
      <c r="G12" s="56">
        <v>0</v>
      </c>
      <c r="H12" s="57">
        <v>0</v>
      </c>
    </row>
    <row r="13" spans="1:8" ht="15.75">
      <c r="A13" s="1">
        <v>8</v>
      </c>
      <c r="B13" s="43" t="s">
        <v>74</v>
      </c>
      <c r="C13" s="54">
        <v>2</v>
      </c>
      <c r="D13" s="58">
        <v>9.98</v>
      </c>
      <c r="E13" s="56">
        <v>0.195</v>
      </c>
      <c r="F13" s="56">
        <v>0.92</v>
      </c>
      <c r="G13" s="56">
        <v>4.2</v>
      </c>
      <c r="H13" s="57">
        <v>4</v>
      </c>
    </row>
    <row r="14" spans="1:8" ht="15.75">
      <c r="A14" s="21">
        <v>9</v>
      </c>
      <c r="B14" s="43" t="s">
        <v>75</v>
      </c>
      <c r="C14" s="54">
        <v>86</v>
      </c>
      <c r="D14" s="58">
        <v>798.02</v>
      </c>
      <c r="E14" s="56">
        <v>72.428</v>
      </c>
      <c r="F14" s="56">
        <v>144.856</v>
      </c>
      <c r="G14" s="56">
        <v>6729.768</v>
      </c>
      <c r="H14" s="57">
        <v>1030</v>
      </c>
    </row>
    <row r="15" spans="1:8" ht="15.75">
      <c r="A15" s="21">
        <v>10</v>
      </c>
      <c r="B15" s="43" t="s">
        <v>76</v>
      </c>
      <c r="C15" s="54">
        <v>1</v>
      </c>
      <c r="D15" s="58">
        <v>5</v>
      </c>
      <c r="E15" s="56">
        <v>0.836</v>
      </c>
      <c r="F15" s="56">
        <v>1.212</v>
      </c>
      <c r="G15" s="56">
        <v>61.06</v>
      </c>
      <c r="H15" s="57">
        <v>6</v>
      </c>
    </row>
    <row r="16" spans="1:8" ht="15.75">
      <c r="A16" s="21">
        <v>11</v>
      </c>
      <c r="B16" s="43" t="s">
        <v>77</v>
      </c>
      <c r="C16" s="54">
        <v>2</v>
      </c>
      <c r="D16" s="58">
        <v>9.93</v>
      </c>
      <c r="E16" s="56">
        <v>0.015</v>
      </c>
      <c r="F16" s="56">
        <v>0.09</v>
      </c>
      <c r="G16" s="56">
        <v>2</v>
      </c>
      <c r="H16" s="57">
        <v>0</v>
      </c>
    </row>
    <row r="17" spans="1:8" ht="15.75">
      <c r="A17" s="21">
        <v>12</v>
      </c>
      <c r="B17" s="43" t="s">
        <v>78</v>
      </c>
      <c r="C17" s="54">
        <v>3</v>
      </c>
      <c r="D17" s="58">
        <v>50</v>
      </c>
      <c r="E17" s="56">
        <v>3.421</v>
      </c>
      <c r="F17" s="56">
        <v>8.552</v>
      </c>
      <c r="G17" s="56">
        <v>731.21</v>
      </c>
      <c r="H17" s="57">
        <v>28</v>
      </c>
    </row>
    <row r="18" spans="1:8" ht="15.75">
      <c r="A18" s="59">
        <v>13</v>
      </c>
      <c r="B18" s="60" t="s">
        <v>79</v>
      </c>
      <c r="C18" s="61">
        <v>0</v>
      </c>
      <c r="D18" s="62">
        <v>0</v>
      </c>
      <c r="E18" s="63">
        <v>0</v>
      </c>
      <c r="F18" s="63">
        <v>0</v>
      </c>
      <c r="G18" s="63">
        <v>1510.9</v>
      </c>
      <c r="H18" s="64">
        <v>0</v>
      </c>
    </row>
    <row r="19" spans="1:8" ht="15.75">
      <c r="A19" s="59"/>
      <c r="B19" s="65" t="s">
        <v>80</v>
      </c>
      <c r="C19" s="66">
        <f aca="true" t="shared" si="0" ref="C19:H19">SUM(C6:C18)</f>
        <v>254</v>
      </c>
      <c r="D19" s="66">
        <f t="shared" si="0"/>
        <v>4387.78</v>
      </c>
      <c r="E19" s="66">
        <f t="shared" si="0"/>
        <v>1666.7479999999998</v>
      </c>
      <c r="F19" s="66">
        <f t="shared" si="0"/>
        <v>2580.7250000000004</v>
      </c>
      <c r="G19" s="66">
        <f t="shared" si="0"/>
        <v>80177.80699999999</v>
      </c>
      <c r="H19" s="66">
        <f t="shared" si="0"/>
        <v>2753</v>
      </c>
    </row>
    <row r="20" spans="1:8" ht="15.75">
      <c r="A20" s="67"/>
      <c r="B20" s="68"/>
      <c r="C20" s="69"/>
      <c r="D20" s="70"/>
      <c r="E20" s="71"/>
      <c r="F20" s="71"/>
      <c r="G20" s="71"/>
      <c r="H20" s="72"/>
    </row>
    <row r="21" spans="1:8" ht="15.75">
      <c r="A21" s="30"/>
      <c r="B21" s="31"/>
      <c r="C21" s="32"/>
      <c r="D21" s="33" t="s">
        <v>81</v>
      </c>
      <c r="E21" s="34"/>
      <c r="F21" s="34"/>
      <c r="G21" s="34"/>
      <c r="H21" s="35"/>
    </row>
    <row r="22" spans="1:8" ht="31.5">
      <c r="A22" s="36" t="s">
        <v>61</v>
      </c>
      <c r="B22" s="37" t="s">
        <v>62</v>
      </c>
      <c r="C22" s="38" t="s">
        <v>5</v>
      </c>
      <c r="D22" s="39" t="s">
        <v>6</v>
      </c>
      <c r="E22" s="40" t="s">
        <v>7</v>
      </c>
      <c r="F22" s="41" t="s">
        <v>8</v>
      </c>
      <c r="G22" s="41" t="s">
        <v>9</v>
      </c>
      <c r="H22" s="42" t="s">
        <v>63</v>
      </c>
    </row>
    <row r="23" spans="1:8" ht="15.75">
      <c r="A23" s="21"/>
      <c r="B23" s="43"/>
      <c r="C23" s="44"/>
      <c r="D23" s="45" t="s">
        <v>11</v>
      </c>
      <c r="E23" s="46" t="s">
        <v>64</v>
      </c>
      <c r="F23" s="46" t="s">
        <v>65</v>
      </c>
      <c r="G23" s="46" t="s">
        <v>66</v>
      </c>
      <c r="H23" s="47" t="s">
        <v>15</v>
      </c>
    </row>
    <row r="24" spans="1:8" ht="15.75">
      <c r="A24" s="73">
        <v>1</v>
      </c>
      <c r="B24" s="43" t="s">
        <v>82</v>
      </c>
      <c r="C24" s="50">
        <v>5</v>
      </c>
      <c r="D24" s="51">
        <v>319.24</v>
      </c>
      <c r="E24" s="52">
        <v>0</v>
      </c>
      <c r="F24" s="52">
        <v>0</v>
      </c>
      <c r="G24" s="52">
        <v>0</v>
      </c>
      <c r="H24" s="53">
        <v>0</v>
      </c>
    </row>
    <row r="25" spans="1:8" ht="15.75">
      <c r="A25" s="73">
        <v>2</v>
      </c>
      <c r="B25" s="49" t="s">
        <v>83</v>
      </c>
      <c r="C25" s="50">
        <v>1</v>
      </c>
      <c r="D25" s="51">
        <v>296.41</v>
      </c>
      <c r="E25" s="52">
        <v>0</v>
      </c>
      <c r="F25" s="52">
        <v>0</v>
      </c>
      <c r="G25" s="52">
        <v>0</v>
      </c>
      <c r="H25" s="53">
        <v>0</v>
      </c>
    </row>
    <row r="26" spans="1:8" ht="15.75">
      <c r="A26" s="73">
        <v>3</v>
      </c>
      <c r="B26" s="49" t="s">
        <v>84</v>
      </c>
      <c r="C26" s="50">
        <v>1</v>
      </c>
      <c r="D26" s="51">
        <v>69.36</v>
      </c>
      <c r="E26" s="52">
        <v>0</v>
      </c>
      <c r="F26" s="52">
        <v>0</v>
      </c>
      <c r="G26" s="52">
        <v>13.874</v>
      </c>
      <c r="H26" s="53">
        <v>0</v>
      </c>
    </row>
    <row r="27" spans="1:8" ht="15.75">
      <c r="A27" s="48">
        <v>4</v>
      </c>
      <c r="B27" s="43" t="s">
        <v>85</v>
      </c>
      <c r="C27" s="54">
        <v>1</v>
      </c>
      <c r="D27" s="58">
        <v>3.58</v>
      </c>
      <c r="E27" s="56">
        <v>0.069</v>
      </c>
      <c r="F27" s="56">
        <v>0.0863</v>
      </c>
      <c r="G27" s="56">
        <v>6.474</v>
      </c>
      <c r="H27" s="57">
        <v>3</v>
      </c>
    </row>
    <row r="28" spans="1:8" ht="15.75">
      <c r="A28" s="21">
        <v>5</v>
      </c>
      <c r="B28" s="43" t="s">
        <v>70</v>
      </c>
      <c r="C28" s="54">
        <v>16</v>
      </c>
      <c r="D28" s="55">
        <v>80.73</v>
      </c>
      <c r="E28" s="56">
        <v>0.118</v>
      </c>
      <c r="F28" s="56">
        <v>0.354</v>
      </c>
      <c r="G28" s="56">
        <v>9.29</v>
      </c>
      <c r="H28" s="57">
        <v>3</v>
      </c>
    </row>
    <row r="29" spans="1:8" ht="15.75">
      <c r="A29" s="21">
        <v>6</v>
      </c>
      <c r="B29" s="43" t="s">
        <v>72</v>
      </c>
      <c r="C29" s="54">
        <v>1</v>
      </c>
      <c r="D29" s="55">
        <v>548.78</v>
      </c>
      <c r="E29" s="56">
        <v>0</v>
      </c>
      <c r="F29" s="56">
        <v>0</v>
      </c>
      <c r="G29" s="56">
        <v>330</v>
      </c>
      <c r="H29" s="57">
        <v>0</v>
      </c>
    </row>
    <row r="30" spans="1:8" ht="15.75">
      <c r="A30" s="21">
        <v>7</v>
      </c>
      <c r="B30" s="43" t="s">
        <v>86</v>
      </c>
      <c r="C30" s="54">
        <v>1</v>
      </c>
      <c r="D30" s="58">
        <v>20</v>
      </c>
      <c r="E30" s="56">
        <v>1.655</v>
      </c>
      <c r="F30" s="56">
        <v>2.482</v>
      </c>
      <c r="G30" s="56">
        <v>40</v>
      </c>
      <c r="H30" s="57">
        <v>2</v>
      </c>
    </row>
    <row r="31" spans="1:8" ht="15.75">
      <c r="A31" s="21">
        <v>8</v>
      </c>
      <c r="B31" s="43" t="s">
        <v>75</v>
      </c>
      <c r="C31" s="54">
        <v>0</v>
      </c>
      <c r="D31" s="58">
        <v>0</v>
      </c>
      <c r="E31" s="56">
        <v>0.91</v>
      </c>
      <c r="F31" s="56">
        <v>2.138</v>
      </c>
      <c r="G31" s="56">
        <v>10.8</v>
      </c>
      <c r="H31" s="57">
        <v>7</v>
      </c>
    </row>
    <row r="32" spans="1:8" ht="15.75">
      <c r="A32" s="21">
        <v>9</v>
      </c>
      <c r="B32" s="43" t="s">
        <v>87</v>
      </c>
      <c r="C32" s="54">
        <v>2</v>
      </c>
      <c r="D32" s="58">
        <v>8.73</v>
      </c>
      <c r="E32" s="56">
        <v>5.76</v>
      </c>
      <c r="F32" s="56">
        <v>9.504</v>
      </c>
      <c r="G32" s="56">
        <v>135</v>
      </c>
      <c r="H32" s="57">
        <v>3</v>
      </c>
    </row>
    <row r="33" spans="1:8" ht="15.75">
      <c r="A33" s="21">
        <v>10</v>
      </c>
      <c r="B33" s="43" t="s">
        <v>76</v>
      </c>
      <c r="C33" s="54">
        <v>1</v>
      </c>
      <c r="D33" s="58">
        <v>4.68</v>
      </c>
      <c r="E33" s="56">
        <v>0</v>
      </c>
      <c r="F33" s="56">
        <v>0</v>
      </c>
      <c r="G33" s="56">
        <v>77.513</v>
      </c>
      <c r="H33" s="57">
        <v>0</v>
      </c>
    </row>
    <row r="34" spans="1:8" ht="15.75">
      <c r="A34" s="21">
        <v>11</v>
      </c>
      <c r="B34" s="43" t="s">
        <v>79</v>
      </c>
      <c r="C34" s="54">
        <v>0</v>
      </c>
      <c r="D34" s="58">
        <v>0</v>
      </c>
      <c r="E34" s="56">
        <v>0</v>
      </c>
      <c r="F34" s="56">
        <v>0</v>
      </c>
      <c r="G34" s="56">
        <v>46.25</v>
      </c>
      <c r="H34" s="57">
        <v>0</v>
      </c>
    </row>
    <row r="35" spans="1:8" ht="15.75">
      <c r="A35" s="21"/>
      <c r="B35" s="74" t="s">
        <v>80</v>
      </c>
      <c r="C35" s="13">
        <f aca="true" t="shared" si="1" ref="C35:H35">SUM(C24:C34)</f>
        <v>29</v>
      </c>
      <c r="D35" s="13">
        <f t="shared" si="1"/>
        <v>1351.5100000000002</v>
      </c>
      <c r="E35" s="13">
        <f t="shared" si="1"/>
        <v>8.512</v>
      </c>
      <c r="F35" s="13">
        <f t="shared" si="1"/>
        <v>14.5643</v>
      </c>
      <c r="G35" s="13">
        <f t="shared" si="1"/>
        <v>669.201</v>
      </c>
      <c r="H35" s="13">
        <f t="shared" si="1"/>
        <v>18</v>
      </c>
    </row>
    <row r="36" spans="1:8" ht="15.75">
      <c r="A36" s="75"/>
      <c r="B36" s="76"/>
      <c r="C36" s="77"/>
      <c r="D36" s="77"/>
      <c r="E36" s="78"/>
      <c r="F36" s="78"/>
      <c r="G36" s="78"/>
      <c r="H36" s="79"/>
    </row>
    <row r="37" spans="1:8" ht="15.75">
      <c r="A37" s="30"/>
      <c r="B37" s="31"/>
      <c r="C37" s="32"/>
      <c r="D37" s="33" t="s">
        <v>88</v>
      </c>
      <c r="E37" s="34"/>
      <c r="F37" s="34"/>
      <c r="G37" s="34"/>
      <c r="H37" s="35"/>
    </row>
    <row r="38" spans="1:8" ht="31.5">
      <c r="A38" s="36" t="s">
        <v>61</v>
      </c>
      <c r="B38" s="37" t="s">
        <v>62</v>
      </c>
      <c r="C38" s="38" t="s">
        <v>5</v>
      </c>
      <c r="D38" s="39" t="s">
        <v>6</v>
      </c>
      <c r="E38" s="40" t="s">
        <v>7</v>
      </c>
      <c r="F38" s="41" t="s">
        <v>8</v>
      </c>
      <c r="G38" s="41" t="s">
        <v>9</v>
      </c>
      <c r="H38" s="42" t="s">
        <v>63</v>
      </c>
    </row>
    <row r="39" spans="1:8" ht="15.75">
      <c r="A39" s="21"/>
      <c r="B39" s="43"/>
      <c r="C39" s="44"/>
      <c r="D39" s="45" t="s">
        <v>11</v>
      </c>
      <c r="E39" s="46" t="s">
        <v>64</v>
      </c>
      <c r="F39" s="46" t="s">
        <v>65</v>
      </c>
      <c r="G39" s="46" t="s">
        <v>66</v>
      </c>
      <c r="H39" s="47" t="s">
        <v>15</v>
      </c>
    </row>
    <row r="40" spans="1:8" ht="15.75">
      <c r="A40" s="73">
        <v>1</v>
      </c>
      <c r="B40" s="49" t="s">
        <v>89</v>
      </c>
      <c r="C40" s="50">
        <v>2</v>
      </c>
      <c r="D40" s="51">
        <v>10</v>
      </c>
      <c r="E40" s="52">
        <v>0.5</v>
      </c>
      <c r="F40" s="52">
        <v>0.75</v>
      </c>
      <c r="G40" s="52">
        <v>7</v>
      </c>
      <c r="H40" s="53">
        <v>23</v>
      </c>
    </row>
    <row r="41" spans="1:8" ht="15.75">
      <c r="A41" s="73">
        <v>2</v>
      </c>
      <c r="B41" s="43" t="s">
        <v>90</v>
      </c>
      <c r="C41" s="54">
        <v>2</v>
      </c>
      <c r="D41" s="58">
        <v>42.75</v>
      </c>
      <c r="E41" s="56">
        <v>0.067</v>
      </c>
      <c r="F41" s="56">
        <v>0.01</v>
      </c>
      <c r="G41" s="56">
        <v>1</v>
      </c>
      <c r="H41" s="57">
        <v>5</v>
      </c>
    </row>
    <row r="42" spans="1:8" ht="15.75">
      <c r="A42" s="21">
        <v>3</v>
      </c>
      <c r="B42" s="43" t="s">
        <v>87</v>
      </c>
      <c r="C42" s="54">
        <v>23</v>
      </c>
      <c r="D42" s="58">
        <v>1438.55</v>
      </c>
      <c r="E42" s="56">
        <v>636.944</v>
      </c>
      <c r="F42" s="56">
        <v>127.39</v>
      </c>
      <c r="G42" s="56">
        <v>12739</v>
      </c>
      <c r="H42" s="57">
        <v>577</v>
      </c>
    </row>
    <row r="43" spans="1:8" ht="15.75">
      <c r="A43" s="21">
        <v>4</v>
      </c>
      <c r="B43" s="60" t="s">
        <v>79</v>
      </c>
      <c r="C43" s="54">
        <v>0</v>
      </c>
      <c r="D43" s="58">
        <v>0</v>
      </c>
      <c r="E43" s="56">
        <v>0</v>
      </c>
      <c r="F43" s="56">
        <v>0</v>
      </c>
      <c r="G43" s="56">
        <v>35</v>
      </c>
      <c r="H43" s="57">
        <v>0</v>
      </c>
    </row>
    <row r="44" spans="1:8" ht="15.75">
      <c r="A44" s="80"/>
      <c r="B44" s="74" t="s">
        <v>80</v>
      </c>
      <c r="C44" s="13">
        <f aca="true" t="shared" si="2" ref="C44:H44">SUM(C40:C43)</f>
        <v>27</v>
      </c>
      <c r="D44" s="13">
        <f t="shared" si="2"/>
        <v>1491.3</v>
      </c>
      <c r="E44" s="15">
        <f t="shared" si="2"/>
        <v>637.511</v>
      </c>
      <c r="F44" s="15">
        <f t="shared" si="2"/>
        <v>128.15</v>
      </c>
      <c r="G44" s="15">
        <f t="shared" si="2"/>
        <v>12782</v>
      </c>
      <c r="H44" s="13">
        <f t="shared" si="2"/>
        <v>605</v>
      </c>
    </row>
    <row r="45" spans="2:8" ht="15.75">
      <c r="B45" s="76"/>
      <c r="C45" s="77"/>
      <c r="D45" s="81"/>
      <c r="E45" s="78"/>
      <c r="F45" s="78"/>
      <c r="G45" s="78"/>
      <c r="H45" s="79"/>
    </row>
    <row r="46" spans="2:8" ht="15.75">
      <c r="B46" s="82"/>
      <c r="C46" s="83"/>
      <c r="D46" s="84" t="s">
        <v>91</v>
      </c>
      <c r="E46" s="85"/>
      <c r="F46" s="85"/>
      <c r="G46" s="85"/>
      <c r="H46" s="86"/>
    </row>
    <row r="47" spans="1:8" ht="31.5">
      <c r="A47" s="36" t="s">
        <v>61</v>
      </c>
      <c r="B47" s="37" t="s">
        <v>62</v>
      </c>
      <c r="C47" s="38" t="s">
        <v>5</v>
      </c>
      <c r="D47" s="39" t="s">
        <v>6</v>
      </c>
      <c r="E47" s="40" t="s">
        <v>7</v>
      </c>
      <c r="F47" s="41" t="s">
        <v>8</v>
      </c>
      <c r="G47" s="41" t="s">
        <v>9</v>
      </c>
      <c r="H47" s="42" t="s">
        <v>63</v>
      </c>
    </row>
    <row r="48" spans="1:8" ht="15.75">
      <c r="A48" s="21"/>
      <c r="B48" s="43"/>
      <c r="C48" s="44"/>
      <c r="D48" s="45" t="s">
        <v>11</v>
      </c>
      <c r="E48" s="46" t="s">
        <v>64</v>
      </c>
      <c r="F48" s="46" t="s">
        <v>65</v>
      </c>
      <c r="G48" s="46" t="s">
        <v>66</v>
      </c>
      <c r="H48" s="47" t="s">
        <v>15</v>
      </c>
    </row>
    <row r="49" spans="1:8" ht="15.75">
      <c r="A49" s="21">
        <v>1</v>
      </c>
      <c r="B49" s="43" t="s">
        <v>92</v>
      </c>
      <c r="C49" s="54">
        <v>1</v>
      </c>
      <c r="D49" s="58">
        <v>18.89</v>
      </c>
      <c r="E49" s="56">
        <v>0</v>
      </c>
      <c r="F49" s="56">
        <v>0</v>
      </c>
      <c r="G49" s="56">
        <v>27</v>
      </c>
      <c r="H49" s="57">
        <v>0</v>
      </c>
    </row>
    <row r="50" spans="1:8" ht="15.75">
      <c r="A50" s="87">
        <v>2</v>
      </c>
      <c r="B50" s="43" t="s">
        <v>93</v>
      </c>
      <c r="C50" s="54">
        <v>1</v>
      </c>
      <c r="D50" s="58">
        <v>71.32</v>
      </c>
      <c r="E50" s="56">
        <v>0</v>
      </c>
      <c r="F50" s="56">
        <v>0</v>
      </c>
      <c r="G50" s="56">
        <v>17</v>
      </c>
      <c r="H50" s="88">
        <v>0</v>
      </c>
    </row>
    <row r="51" spans="1:8" ht="15.75">
      <c r="A51" s="1">
        <v>3</v>
      </c>
      <c r="B51" s="43" t="s">
        <v>94</v>
      </c>
      <c r="C51" s="54">
        <v>1</v>
      </c>
      <c r="D51" s="58">
        <v>59</v>
      </c>
      <c r="E51" s="56">
        <v>0</v>
      </c>
      <c r="F51" s="56">
        <v>0</v>
      </c>
      <c r="G51" s="56">
        <v>129</v>
      </c>
      <c r="H51" s="57">
        <v>0</v>
      </c>
    </row>
    <row r="52" spans="1:8" ht="15.75">
      <c r="A52" s="21">
        <v>4</v>
      </c>
      <c r="B52" s="43" t="s">
        <v>76</v>
      </c>
      <c r="C52" s="54">
        <v>1</v>
      </c>
      <c r="D52" s="58">
        <v>63.38</v>
      </c>
      <c r="E52" s="56">
        <v>0</v>
      </c>
      <c r="F52" s="56">
        <v>0</v>
      </c>
      <c r="G52" s="56">
        <v>31</v>
      </c>
      <c r="H52" s="57">
        <v>0</v>
      </c>
    </row>
    <row r="53" spans="1:8" ht="15.75">
      <c r="A53" s="21"/>
      <c r="B53" s="74" t="s">
        <v>80</v>
      </c>
      <c r="C53" s="13">
        <f aca="true" t="shared" si="3" ref="C53:H53">SUM(C49:C52)</f>
        <v>4</v>
      </c>
      <c r="D53" s="13">
        <f t="shared" si="3"/>
        <v>212.58999999999997</v>
      </c>
      <c r="E53" s="15">
        <f t="shared" si="3"/>
        <v>0</v>
      </c>
      <c r="F53" s="15">
        <f t="shared" si="3"/>
        <v>0</v>
      </c>
      <c r="G53" s="15">
        <f t="shared" si="3"/>
        <v>204</v>
      </c>
      <c r="H53" s="13">
        <f t="shared" si="3"/>
        <v>0</v>
      </c>
    </row>
    <row r="54" spans="1:8" ht="15.75">
      <c r="A54" s="75"/>
      <c r="B54" s="89"/>
      <c r="C54" s="90"/>
      <c r="D54" s="91"/>
      <c r="E54" s="92"/>
      <c r="F54" s="92"/>
      <c r="G54" s="92"/>
      <c r="H54" s="93"/>
    </row>
    <row r="55" spans="1:8" ht="15.75">
      <c r="A55" s="75"/>
      <c r="B55" s="89"/>
      <c r="C55" s="90"/>
      <c r="D55" s="81" t="s">
        <v>95</v>
      </c>
      <c r="E55" s="92"/>
      <c r="F55" s="92"/>
      <c r="G55" s="92"/>
      <c r="H55" s="93"/>
    </row>
    <row r="56" spans="1:8" ht="31.5">
      <c r="A56" s="36" t="s">
        <v>61</v>
      </c>
      <c r="B56" s="37" t="s">
        <v>62</v>
      </c>
      <c r="C56" s="38" t="s">
        <v>5</v>
      </c>
      <c r="D56" s="39" t="s">
        <v>6</v>
      </c>
      <c r="E56" s="40" t="s">
        <v>7</v>
      </c>
      <c r="F56" s="41" t="s">
        <v>8</v>
      </c>
      <c r="G56" s="41" t="s">
        <v>9</v>
      </c>
      <c r="H56" s="42" t="s">
        <v>63</v>
      </c>
    </row>
    <row r="57" spans="1:8" ht="15.75">
      <c r="A57" s="21"/>
      <c r="B57" s="43"/>
      <c r="C57" s="44"/>
      <c r="D57" s="45" t="s">
        <v>11</v>
      </c>
      <c r="E57" s="46" t="s">
        <v>64</v>
      </c>
      <c r="F57" s="46" t="s">
        <v>65</v>
      </c>
      <c r="G57" s="46" t="s">
        <v>66</v>
      </c>
      <c r="H57" s="47" t="s">
        <v>15</v>
      </c>
    </row>
    <row r="58" spans="1:8" ht="15.75">
      <c r="A58" s="87">
        <v>1</v>
      </c>
      <c r="B58" s="43" t="s">
        <v>82</v>
      </c>
      <c r="C58" s="54">
        <v>3</v>
      </c>
      <c r="D58" s="58">
        <v>15</v>
      </c>
      <c r="E58" s="56">
        <v>0</v>
      </c>
      <c r="F58" s="56">
        <v>0</v>
      </c>
      <c r="G58" s="56">
        <v>0</v>
      </c>
      <c r="H58" s="57">
        <v>0</v>
      </c>
    </row>
    <row r="59" spans="1:8" ht="15.75">
      <c r="A59" s="21">
        <v>2</v>
      </c>
      <c r="B59" s="43" t="s">
        <v>96</v>
      </c>
      <c r="C59" s="54">
        <v>3</v>
      </c>
      <c r="D59" s="58">
        <v>402.62</v>
      </c>
      <c r="E59" s="56">
        <v>0</v>
      </c>
      <c r="F59" s="56">
        <v>0</v>
      </c>
      <c r="G59" s="56">
        <v>226.835</v>
      </c>
      <c r="H59" s="57">
        <v>0</v>
      </c>
    </row>
    <row r="60" spans="1:8" ht="15.75">
      <c r="A60" s="21">
        <v>3</v>
      </c>
      <c r="B60" s="43" t="s">
        <v>97</v>
      </c>
      <c r="C60" s="54">
        <v>5</v>
      </c>
      <c r="D60" s="58">
        <v>94.99</v>
      </c>
      <c r="E60" s="56">
        <v>1.42</v>
      </c>
      <c r="F60" s="56">
        <v>3.999</v>
      </c>
      <c r="G60" s="56">
        <v>40</v>
      </c>
      <c r="H60" s="57">
        <v>20</v>
      </c>
    </row>
    <row r="61" spans="1:8" ht="15.75">
      <c r="A61" s="21">
        <v>4</v>
      </c>
      <c r="B61" s="43" t="s">
        <v>98</v>
      </c>
      <c r="C61" s="54">
        <v>1</v>
      </c>
      <c r="D61" s="58">
        <v>2655.7</v>
      </c>
      <c r="E61" s="56">
        <v>299.439</v>
      </c>
      <c r="F61" s="56">
        <v>2844.676</v>
      </c>
      <c r="G61" s="56">
        <v>14971.984</v>
      </c>
      <c r="H61" s="57">
        <v>1010</v>
      </c>
    </row>
    <row r="62" spans="1:8" ht="15.75">
      <c r="A62" s="21"/>
      <c r="B62" s="74" t="s">
        <v>80</v>
      </c>
      <c r="C62" s="13">
        <f aca="true" t="shared" si="4" ref="C62:H62">SUM(C58:C61)</f>
        <v>12</v>
      </c>
      <c r="D62" s="13">
        <f t="shared" si="4"/>
        <v>3168.31</v>
      </c>
      <c r="E62" s="13">
        <f t="shared" si="4"/>
        <v>300.85900000000004</v>
      </c>
      <c r="F62" s="13">
        <f t="shared" si="4"/>
        <v>2848.6749999999997</v>
      </c>
      <c r="G62" s="13">
        <f t="shared" si="4"/>
        <v>15238.819</v>
      </c>
      <c r="H62" s="13">
        <f t="shared" si="4"/>
        <v>1030</v>
      </c>
    </row>
    <row r="63" spans="1:8" ht="15.75">
      <c r="A63" s="75"/>
      <c r="B63" s="76"/>
      <c r="C63" s="77"/>
      <c r="D63" s="81"/>
      <c r="E63" s="78"/>
      <c r="F63" s="78"/>
      <c r="G63" s="78"/>
      <c r="H63" s="79"/>
    </row>
    <row r="64" spans="1:8" ht="15.75">
      <c r="A64" s="30"/>
      <c r="B64" s="31"/>
      <c r="C64" s="32"/>
      <c r="D64" s="33" t="s">
        <v>99</v>
      </c>
      <c r="E64" s="34"/>
      <c r="F64" s="34"/>
      <c r="G64" s="34"/>
      <c r="H64" s="35"/>
    </row>
    <row r="65" spans="1:8" ht="31.5">
      <c r="A65" s="36" t="s">
        <v>61</v>
      </c>
      <c r="B65" s="37" t="s">
        <v>62</v>
      </c>
      <c r="C65" s="38" t="s">
        <v>5</v>
      </c>
      <c r="D65" s="39" t="s">
        <v>6</v>
      </c>
      <c r="E65" s="40" t="s">
        <v>7</v>
      </c>
      <c r="F65" s="41" t="s">
        <v>8</v>
      </c>
      <c r="G65" s="41" t="s">
        <v>9</v>
      </c>
      <c r="H65" s="42" t="s">
        <v>63</v>
      </c>
    </row>
    <row r="66" spans="1:8" ht="15.75">
      <c r="A66" s="21"/>
      <c r="B66" s="43"/>
      <c r="C66" s="44"/>
      <c r="D66" s="45" t="s">
        <v>11</v>
      </c>
      <c r="E66" s="46" t="s">
        <v>64</v>
      </c>
      <c r="F66" s="46" t="s">
        <v>65</v>
      </c>
      <c r="G66" s="46" t="s">
        <v>66</v>
      </c>
      <c r="H66" s="47" t="s">
        <v>15</v>
      </c>
    </row>
    <row r="67" spans="1:8" ht="15.75">
      <c r="A67" s="73">
        <v>1</v>
      </c>
      <c r="B67" s="49" t="s">
        <v>100</v>
      </c>
      <c r="C67" s="50">
        <v>74</v>
      </c>
      <c r="D67" s="51">
        <v>5272.41</v>
      </c>
      <c r="E67" s="52">
        <v>584.5</v>
      </c>
      <c r="F67" s="52">
        <v>1753</v>
      </c>
      <c r="G67" s="52">
        <v>17562.322</v>
      </c>
      <c r="H67" s="53">
        <v>250</v>
      </c>
    </row>
    <row r="68" spans="1:8" ht="18.75" customHeight="1">
      <c r="A68" s="1">
        <v>2</v>
      </c>
      <c r="B68" s="43" t="s">
        <v>101</v>
      </c>
      <c r="C68" s="54">
        <v>9</v>
      </c>
      <c r="D68" s="58">
        <v>3009.92</v>
      </c>
      <c r="E68" s="56">
        <v>2171.245</v>
      </c>
      <c r="F68" s="56">
        <v>7599.357</v>
      </c>
      <c r="G68" s="56">
        <v>91162.314</v>
      </c>
      <c r="H68" s="57">
        <v>650</v>
      </c>
    </row>
    <row r="69" spans="1:8" ht="16.5" customHeight="1">
      <c r="A69" s="21">
        <v>3</v>
      </c>
      <c r="B69" s="43" t="s">
        <v>96</v>
      </c>
      <c r="C69" s="54">
        <v>1</v>
      </c>
      <c r="D69" s="58">
        <v>531</v>
      </c>
      <c r="E69" s="56">
        <v>0</v>
      </c>
      <c r="F69" s="56">
        <v>0</v>
      </c>
      <c r="G69" s="56">
        <v>207.2</v>
      </c>
      <c r="H69" s="57">
        <v>0</v>
      </c>
    </row>
    <row r="70" spans="1:8" ht="15.75" customHeight="1">
      <c r="A70" s="21">
        <v>4</v>
      </c>
      <c r="B70" s="43" t="s">
        <v>98</v>
      </c>
      <c r="C70" s="54">
        <v>2</v>
      </c>
      <c r="D70" s="58">
        <v>1771.19</v>
      </c>
      <c r="E70" s="56">
        <v>0</v>
      </c>
      <c r="F70" s="56">
        <v>0</v>
      </c>
      <c r="G70" s="56">
        <v>107.6</v>
      </c>
      <c r="H70" s="57">
        <v>0</v>
      </c>
    </row>
    <row r="71" spans="1:8" ht="19.5" customHeight="1">
      <c r="A71" s="59"/>
      <c r="B71" s="65" t="s">
        <v>80</v>
      </c>
      <c r="C71" s="66">
        <f aca="true" t="shared" si="5" ref="C71:H71">SUM(C67:C70)</f>
        <v>86</v>
      </c>
      <c r="D71" s="66">
        <f t="shared" si="5"/>
        <v>10584.52</v>
      </c>
      <c r="E71" s="66">
        <f t="shared" si="5"/>
        <v>2755.745</v>
      </c>
      <c r="F71" s="66">
        <f t="shared" si="5"/>
        <v>9352.357</v>
      </c>
      <c r="G71" s="66">
        <f t="shared" si="5"/>
        <v>109039.436</v>
      </c>
      <c r="H71" s="66">
        <f t="shared" si="5"/>
        <v>900</v>
      </c>
    </row>
    <row r="72" spans="1:8" ht="19.5" customHeight="1">
      <c r="A72" s="67"/>
      <c r="B72" s="68"/>
      <c r="C72" s="69"/>
      <c r="D72" s="70"/>
      <c r="E72" s="71"/>
      <c r="F72" s="71"/>
      <c r="G72" s="71"/>
      <c r="H72" s="72"/>
    </row>
    <row r="73" spans="1:8" ht="19.5" customHeight="1">
      <c r="A73" s="30"/>
      <c r="B73" s="31"/>
      <c r="C73" s="32"/>
      <c r="D73" s="33" t="s">
        <v>102</v>
      </c>
      <c r="E73" s="34"/>
      <c r="F73" s="34"/>
      <c r="G73" s="34"/>
      <c r="H73" s="35"/>
    </row>
    <row r="74" spans="1:8" ht="31.5">
      <c r="A74" s="36" t="s">
        <v>61</v>
      </c>
      <c r="B74" s="37" t="s">
        <v>62</v>
      </c>
      <c r="C74" s="38" t="s">
        <v>5</v>
      </c>
      <c r="D74" s="39" t="s">
        <v>6</v>
      </c>
      <c r="E74" s="40" t="s">
        <v>7</v>
      </c>
      <c r="F74" s="41" t="s">
        <v>8</v>
      </c>
      <c r="G74" s="41" t="s">
        <v>9</v>
      </c>
      <c r="H74" s="42" t="s">
        <v>63</v>
      </c>
    </row>
    <row r="75" spans="1:8" ht="15.75">
      <c r="A75" s="21"/>
      <c r="B75" s="43"/>
      <c r="C75" s="44"/>
      <c r="D75" s="45" t="s">
        <v>11</v>
      </c>
      <c r="E75" s="46" t="s">
        <v>64</v>
      </c>
      <c r="F75" s="46" t="s">
        <v>65</v>
      </c>
      <c r="G75" s="46" t="s">
        <v>66</v>
      </c>
      <c r="H75" s="47" t="s">
        <v>15</v>
      </c>
    </row>
    <row r="76" spans="1:8" ht="15.75">
      <c r="A76" s="73">
        <v>1</v>
      </c>
      <c r="B76" s="49" t="s">
        <v>67</v>
      </c>
      <c r="C76" s="50">
        <v>1</v>
      </c>
      <c r="D76" s="51">
        <v>1200</v>
      </c>
      <c r="E76" s="52">
        <v>3748.04</v>
      </c>
      <c r="F76" s="52">
        <v>11539.3</v>
      </c>
      <c r="G76" s="52">
        <f>5224553.427+246</f>
        <v>5224799.427</v>
      </c>
      <c r="H76" s="53">
        <v>1119</v>
      </c>
    </row>
    <row r="77" spans="1:8" ht="15.75">
      <c r="A77" s="21">
        <v>2</v>
      </c>
      <c r="B77" s="43" t="s">
        <v>103</v>
      </c>
      <c r="C77" s="54">
        <v>0</v>
      </c>
      <c r="D77" s="58">
        <v>0</v>
      </c>
      <c r="E77" s="94">
        <v>60410</v>
      </c>
      <c r="F77" s="56">
        <v>9866.502999999999</v>
      </c>
      <c r="G77" s="56">
        <v>0</v>
      </c>
      <c r="H77" s="57">
        <v>0</v>
      </c>
    </row>
    <row r="78" spans="1:8" ht="15.75">
      <c r="A78" s="21">
        <v>3</v>
      </c>
      <c r="B78" s="43" t="s">
        <v>83</v>
      </c>
      <c r="C78" s="54">
        <v>3</v>
      </c>
      <c r="D78" s="58">
        <v>56</v>
      </c>
      <c r="E78" s="56">
        <v>0</v>
      </c>
      <c r="F78" s="56">
        <v>0</v>
      </c>
      <c r="G78" s="56">
        <v>36</v>
      </c>
      <c r="H78" s="57">
        <v>6</v>
      </c>
    </row>
    <row r="79" spans="1:8" ht="15.75">
      <c r="A79" s="21">
        <v>4</v>
      </c>
      <c r="B79" s="43" t="s">
        <v>82</v>
      </c>
      <c r="C79" s="54">
        <v>18</v>
      </c>
      <c r="D79" s="58">
        <v>542.35</v>
      </c>
      <c r="E79" s="56">
        <v>38.871</v>
      </c>
      <c r="F79" s="56">
        <v>58.306</v>
      </c>
      <c r="G79" s="56">
        <v>6096.415</v>
      </c>
      <c r="H79" s="57">
        <v>58</v>
      </c>
    </row>
    <row r="80" spans="1:8" ht="15.75">
      <c r="A80" s="21">
        <v>5</v>
      </c>
      <c r="B80" s="43" t="s">
        <v>70</v>
      </c>
      <c r="C80" s="54">
        <v>223</v>
      </c>
      <c r="D80" s="58">
        <v>1659.819</v>
      </c>
      <c r="E80" s="56">
        <v>61.442</v>
      </c>
      <c r="F80" s="56">
        <v>122.88</v>
      </c>
      <c r="G80" s="56">
        <v>10919.71</v>
      </c>
      <c r="H80" s="57">
        <v>497</v>
      </c>
    </row>
    <row r="81" spans="1:8" ht="15.75">
      <c r="A81" s="48">
        <v>6</v>
      </c>
      <c r="B81" s="43" t="s">
        <v>75</v>
      </c>
      <c r="C81" s="54">
        <v>0</v>
      </c>
      <c r="D81" s="58">
        <v>0</v>
      </c>
      <c r="E81" s="56">
        <v>37.713</v>
      </c>
      <c r="F81" s="56">
        <v>56.57</v>
      </c>
      <c r="G81" s="56">
        <v>0</v>
      </c>
      <c r="H81" s="57">
        <v>0</v>
      </c>
    </row>
    <row r="82" spans="1:8" ht="15.75">
      <c r="A82" s="48">
        <v>7</v>
      </c>
      <c r="B82" s="43" t="s">
        <v>71</v>
      </c>
      <c r="C82" s="54">
        <v>1</v>
      </c>
      <c r="D82" s="58">
        <v>5</v>
      </c>
      <c r="E82" s="56">
        <v>0</v>
      </c>
      <c r="F82" s="56">
        <v>0</v>
      </c>
      <c r="G82" s="56">
        <v>14.083</v>
      </c>
      <c r="H82" s="57">
        <v>0</v>
      </c>
    </row>
    <row r="83" spans="1:8" ht="15.75">
      <c r="A83" s="21">
        <v>8</v>
      </c>
      <c r="B83" s="43" t="s">
        <v>104</v>
      </c>
      <c r="C83" s="54">
        <v>2</v>
      </c>
      <c r="D83" s="58">
        <v>10</v>
      </c>
      <c r="E83" s="56">
        <v>0</v>
      </c>
      <c r="F83" s="56">
        <v>0</v>
      </c>
      <c r="G83" s="56">
        <v>36</v>
      </c>
      <c r="H83" s="57">
        <v>0</v>
      </c>
    </row>
    <row r="84" spans="1:8" ht="15.75">
      <c r="A84" s="21">
        <v>9</v>
      </c>
      <c r="B84" s="43" t="s">
        <v>105</v>
      </c>
      <c r="C84" s="54">
        <v>5</v>
      </c>
      <c r="D84" s="55">
        <v>257.63</v>
      </c>
      <c r="E84" s="56">
        <v>0.373</v>
      </c>
      <c r="F84" s="56">
        <v>5.59</v>
      </c>
      <c r="G84" s="56">
        <v>155.849</v>
      </c>
      <c r="H84" s="57">
        <v>40</v>
      </c>
    </row>
    <row r="85" spans="1:8" ht="15.75">
      <c r="A85" s="21">
        <v>10</v>
      </c>
      <c r="B85" s="43" t="s">
        <v>89</v>
      </c>
      <c r="C85" s="54">
        <v>4</v>
      </c>
      <c r="D85" s="58">
        <v>19</v>
      </c>
      <c r="E85" s="56">
        <v>14.373000000000001</v>
      </c>
      <c r="F85" s="56">
        <v>10.31</v>
      </c>
      <c r="G85" s="56">
        <v>208.901</v>
      </c>
      <c r="H85" s="57">
        <v>13</v>
      </c>
    </row>
    <row r="86" spans="1:8" ht="15.75">
      <c r="A86" s="1">
        <v>11</v>
      </c>
      <c r="B86" s="43" t="s">
        <v>106</v>
      </c>
      <c r="C86" s="54">
        <v>0</v>
      </c>
      <c r="D86" s="58">
        <v>0</v>
      </c>
      <c r="E86" s="56">
        <v>0</v>
      </c>
      <c r="F86" s="56">
        <v>0</v>
      </c>
      <c r="G86" s="56">
        <v>35.628</v>
      </c>
      <c r="H86" s="57">
        <v>0</v>
      </c>
    </row>
    <row r="87" spans="1:8" ht="15.75">
      <c r="A87" s="21">
        <v>12</v>
      </c>
      <c r="B87" s="43" t="s">
        <v>87</v>
      </c>
      <c r="C87" s="54">
        <v>1</v>
      </c>
      <c r="D87" s="58">
        <v>5</v>
      </c>
      <c r="E87" s="56">
        <v>0</v>
      </c>
      <c r="F87" s="56">
        <v>0</v>
      </c>
      <c r="G87" s="56">
        <v>0</v>
      </c>
      <c r="H87" s="57">
        <v>0</v>
      </c>
    </row>
    <row r="88" spans="1:8" ht="15.75">
      <c r="A88" s="21">
        <v>13</v>
      </c>
      <c r="B88" s="43" t="s">
        <v>76</v>
      </c>
      <c r="C88" s="54">
        <v>27</v>
      </c>
      <c r="D88" s="58">
        <v>2516.58</v>
      </c>
      <c r="E88" s="56">
        <v>225.244</v>
      </c>
      <c r="F88" s="56">
        <v>450.488</v>
      </c>
      <c r="G88" s="56">
        <v>23184.321</v>
      </c>
      <c r="H88" s="57">
        <v>505</v>
      </c>
    </row>
    <row r="89" spans="1:8" ht="15.75">
      <c r="A89" s="1">
        <v>14</v>
      </c>
      <c r="B89" s="43" t="s">
        <v>107</v>
      </c>
      <c r="C89" s="54">
        <v>0</v>
      </c>
      <c r="D89" s="58">
        <v>0</v>
      </c>
      <c r="E89" s="56">
        <v>0.347</v>
      </c>
      <c r="F89" s="56">
        <v>642.246</v>
      </c>
      <c r="G89" s="56">
        <v>0</v>
      </c>
      <c r="H89" s="57">
        <v>0</v>
      </c>
    </row>
    <row r="90" spans="2:8" ht="15.75">
      <c r="B90" s="43" t="s">
        <v>79</v>
      </c>
      <c r="C90" s="54">
        <v>0</v>
      </c>
      <c r="D90" s="58">
        <v>0</v>
      </c>
      <c r="E90" s="56">
        <v>0</v>
      </c>
      <c r="F90" s="56">
        <v>0</v>
      </c>
      <c r="G90" s="56">
        <v>11.55</v>
      </c>
      <c r="H90" s="57">
        <v>0</v>
      </c>
    </row>
    <row r="91" spans="1:8" ht="15.75">
      <c r="A91" s="21"/>
      <c r="B91" s="65" t="s">
        <v>80</v>
      </c>
      <c r="C91" s="66">
        <f>SUM(C76:C90)</f>
        <v>285</v>
      </c>
      <c r="D91" s="66">
        <f>SUM(D76:D90)</f>
        <v>6271.379</v>
      </c>
      <c r="E91" s="95">
        <f>SUM(E78:E90)+E76+0.061</f>
        <v>4126.464</v>
      </c>
      <c r="F91" s="66">
        <f>SUM(F76:F90)</f>
        <v>22752.193000000003</v>
      </c>
      <c r="G91" s="66">
        <f>SUM(G76:G90)</f>
        <v>5265497.884</v>
      </c>
      <c r="H91" s="66">
        <f>SUM(H76:H90)</f>
        <v>2238</v>
      </c>
    </row>
    <row r="92" spans="1:8" ht="15.75">
      <c r="A92" s="67"/>
      <c r="B92" s="68"/>
      <c r="C92" s="69"/>
      <c r="D92" s="70"/>
      <c r="E92" s="71"/>
      <c r="F92" s="71"/>
      <c r="G92" s="71"/>
      <c r="H92" s="72"/>
    </row>
    <row r="93" spans="4:8" s="75" customFormat="1" ht="15.75">
      <c r="D93" s="81" t="s">
        <v>108</v>
      </c>
      <c r="H93" s="93"/>
    </row>
    <row r="94" spans="1:8" s="75" customFormat="1" ht="19.5" customHeight="1">
      <c r="A94" s="21" t="s">
        <v>61</v>
      </c>
      <c r="B94" s="21" t="s">
        <v>62</v>
      </c>
      <c r="C94" s="21" t="s">
        <v>5</v>
      </c>
      <c r="D94" s="21" t="s">
        <v>6</v>
      </c>
      <c r="E94" s="21" t="s">
        <v>7</v>
      </c>
      <c r="F94" s="21" t="s">
        <v>8</v>
      </c>
      <c r="G94" s="21" t="s">
        <v>9</v>
      </c>
      <c r="H94" s="57" t="s">
        <v>63</v>
      </c>
    </row>
    <row r="95" spans="1:8" s="75" customFormat="1" ht="19.5" customHeight="1">
      <c r="A95" s="21">
        <v>1</v>
      </c>
      <c r="B95" s="43" t="s">
        <v>72</v>
      </c>
      <c r="C95" s="96">
        <v>2</v>
      </c>
      <c r="D95" s="58">
        <v>3980</v>
      </c>
      <c r="E95" s="56">
        <v>433.645</v>
      </c>
      <c r="F95" s="56">
        <v>737.2</v>
      </c>
      <c r="G95" s="56">
        <v>22536.224</v>
      </c>
      <c r="H95" s="96">
        <v>186</v>
      </c>
    </row>
    <row r="96" spans="1:8" s="75" customFormat="1" ht="19.5" customHeight="1">
      <c r="A96" s="21">
        <v>2</v>
      </c>
      <c r="B96" s="43" t="s">
        <v>82</v>
      </c>
      <c r="C96" s="96">
        <v>1</v>
      </c>
      <c r="D96" s="58">
        <v>61</v>
      </c>
      <c r="E96" s="56">
        <v>0.037</v>
      </c>
      <c r="F96" s="56">
        <v>0.046</v>
      </c>
      <c r="G96" s="56">
        <v>12.2</v>
      </c>
      <c r="H96" s="96">
        <v>4</v>
      </c>
    </row>
    <row r="97" spans="1:8" s="75" customFormat="1" ht="19.5" customHeight="1">
      <c r="A97" s="21">
        <v>3</v>
      </c>
      <c r="B97" s="43" t="s">
        <v>87</v>
      </c>
      <c r="C97" s="96">
        <v>2</v>
      </c>
      <c r="D97" s="58">
        <v>357</v>
      </c>
      <c r="E97" s="56">
        <v>58.948</v>
      </c>
      <c r="F97" s="56">
        <v>206.31</v>
      </c>
      <c r="G97" s="56">
        <v>890.629</v>
      </c>
      <c r="H97" s="96">
        <v>128</v>
      </c>
    </row>
    <row r="98" spans="1:8" s="75" customFormat="1" ht="19.5" customHeight="1">
      <c r="A98" s="21">
        <v>4</v>
      </c>
      <c r="B98" s="43" t="s">
        <v>89</v>
      </c>
      <c r="C98" s="96">
        <v>0</v>
      </c>
      <c r="D98" s="58">
        <v>0</v>
      </c>
      <c r="E98" s="56">
        <v>0</v>
      </c>
      <c r="F98" s="56">
        <v>0</v>
      </c>
      <c r="G98" s="56">
        <v>2</v>
      </c>
      <c r="H98" s="96">
        <v>0</v>
      </c>
    </row>
    <row r="99" spans="1:8" s="75" customFormat="1" ht="19.5" customHeight="1">
      <c r="A99" s="21">
        <v>5</v>
      </c>
      <c r="B99" s="43" t="s">
        <v>79</v>
      </c>
      <c r="C99" s="96">
        <v>0</v>
      </c>
      <c r="D99" s="58">
        <v>0</v>
      </c>
      <c r="E99" s="56">
        <v>0</v>
      </c>
      <c r="F99" s="56">
        <v>0</v>
      </c>
      <c r="G99" s="56">
        <v>0.75</v>
      </c>
      <c r="H99" s="96">
        <v>0</v>
      </c>
    </row>
    <row r="100" spans="1:8" s="75" customFormat="1" ht="19.5" customHeight="1">
      <c r="A100" s="21"/>
      <c r="B100" s="74" t="s">
        <v>80</v>
      </c>
      <c r="C100" s="97">
        <f aca="true" t="shared" si="6" ref="C100:H100">SUM(C95:C99)</f>
        <v>5</v>
      </c>
      <c r="D100" s="14">
        <f t="shared" si="6"/>
        <v>4398</v>
      </c>
      <c r="E100" s="15">
        <f t="shared" si="6"/>
        <v>492.62999999999994</v>
      </c>
      <c r="F100" s="15">
        <f t="shared" si="6"/>
        <v>943.556</v>
      </c>
      <c r="G100" s="15">
        <f t="shared" si="6"/>
        <v>23441.803</v>
      </c>
      <c r="H100" s="97">
        <f t="shared" si="6"/>
        <v>318</v>
      </c>
    </row>
    <row r="101" spans="2:8" s="75" customFormat="1" ht="19.5" customHeight="1">
      <c r="B101" s="89"/>
      <c r="C101" s="98"/>
      <c r="D101" s="91"/>
      <c r="E101" s="92"/>
      <c r="F101" s="92"/>
      <c r="G101" s="92"/>
      <c r="H101" s="98"/>
    </row>
    <row r="102" spans="2:8" s="75" customFormat="1" ht="15.75">
      <c r="B102" s="89"/>
      <c r="C102" s="90"/>
      <c r="D102" s="81" t="s">
        <v>109</v>
      </c>
      <c r="E102" s="92"/>
      <c r="F102" s="92"/>
      <c r="G102" s="92"/>
      <c r="H102" s="93"/>
    </row>
    <row r="103" spans="1:8" s="75" customFormat="1" ht="15" customHeight="1">
      <c r="A103" s="21" t="s">
        <v>61</v>
      </c>
      <c r="B103" s="21" t="s">
        <v>62</v>
      </c>
      <c r="C103" s="21" t="s">
        <v>5</v>
      </c>
      <c r="D103" s="21" t="s">
        <v>6</v>
      </c>
      <c r="E103" s="21" t="s">
        <v>7</v>
      </c>
      <c r="F103" s="21" t="s">
        <v>8</v>
      </c>
      <c r="G103" s="21" t="s">
        <v>9</v>
      </c>
      <c r="H103" s="57" t="s">
        <v>63</v>
      </c>
    </row>
    <row r="104" spans="1:8" s="75" customFormat="1" ht="15" customHeight="1">
      <c r="A104" s="21"/>
      <c r="B104" s="21"/>
      <c r="C104" s="21"/>
      <c r="D104" s="21" t="s">
        <v>11</v>
      </c>
      <c r="E104" s="21" t="s">
        <v>64</v>
      </c>
      <c r="F104" s="21" t="s">
        <v>65</v>
      </c>
      <c r="G104" s="21" t="s">
        <v>66</v>
      </c>
      <c r="H104" s="57" t="s">
        <v>15</v>
      </c>
    </row>
    <row r="105" spans="1:8" s="75" customFormat="1" ht="15" customHeight="1">
      <c r="A105" s="21">
        <v>1</v>
      </c>
      <c r="B105" s="21" t="s">
        <v>82</v>
      </c>
      <c r="C105" s="96">
        <v>18</v>
      </c>
      <c r="D105" s="58">
        <v>400.516</v>
      </c>
      <c r="E105" s="56">
        <v>213.661</v>
      </c>
      <c r="F105" s="56">
        <v>256.393</v>
      </c>
      <c r="G105" s="56">
        <v>4918.201</v>
      </c>
      <c r="H105" s="96">
        <v>170</v>
      </c>
    </row>
    <row r="106" spans="1:8" s="75" customFormat="1" ht="15" customHeight="1">
      <c r="A106" s="21">
        <v>2</v>
      </c>
      <c r="B106" s="21" t="s">
        <v>72</v>
      </c>
      <c r="C106" s="96">
        <v>6</v>
      </c>
      <c r="D106" s="58">
        <v>2967.88</v>
      </c>
      <c r="E106" s="56">
        <v>8752.392</v>
      </c>
      <c r="F106" s="56">
        <v>9055.611</v>
      </c>
      <c r="G106" s="56">
        <v>417078.684</v>
      </c>
      <c r="H106" s="96">
        <v>436</v>
      </c>
    </row>
    <row r="107" spans="1:8" s="75" customFormat="1" ht="15" customHeight="1">
      <c r="A107" s="21">
        <v>3</v>
      </c>
      <c r="B107" s="21" t="s">
        <v>89</v>
      </c>
      <c r="C107" s="96">
        <v>26</v>
      </c>
      <c r="D107" s="58">
        <v>1237.66</v>
      </c>
      <c r="E107" s="56">
        <v>1150.689</v>
      </c>
      <c r="F107" s="56">
        <v>782.1790000000001</v>
      </c>
      <c r="G107" s="56">
        <v>18083.457</v>
      </c>
      <c r="H107" s="96">
        <v>1201</v>
      </c>
    </row>
    <row r="108" spans="1:8" s="75" customFormat="1" ht="15" customHeight="1">
      <c r="A108" s="21">
        <v>4</v>
      </c>
      <c r="B108" s="21" t="s">
        <v>75</v>
      </c>
      <c r="C108" s="96">
        <v>4</v>
      </c>
      <c r="D108" s="58">
        <v>16.107</v>
      </c>
      <c r="E108" s="56">
        <v>6.715</v>
      </c>
      <c r="F108" s="56">
        <v>26.86</v>
      </c>
      <c r="G108" s="56">
        <v>134.318</v>
      </c>
      <c r="H108" s="96">
        <v>25</v>
      </c>
    </row>
    <row r="109" spans="1:8" s="75" customFormat="1" ht="15" customHeight="1">
      <c r="A109" s="21">
        <v>5</v>
      </c>
      <c r="B109" s="21" t="s">
        <v>70</v>
      </c>
      <c r="C109" s="96">
        <v>4</v>
      </c>
      <c r="D109" s="58">
        <v>16.11</v>
      </c>
      <c r="E109" s="56">
        <v>0.175</v>
      </c>
      <c r="F109" s="56">
        <v>0.35</v>
      </c>
      <c r="G109" s="56">
        <v>3.5</v>
      </c>
      <c r="H109" s="96">
        <v>25</v>
      </c>
    </row>
    <row r="110" spans="1:8" s="75" customFormat="1" ht="15" customHeight="1">
      <c r="A110" s="21">
        <v>6</v>
      </c>
      <c r="B110" s="21" t="s">
        <v>87</v>
      </c>
      <c r="C110" s="96">
        <v>0</v>
      </c>
      <c r="D110" s="58">
        <v>0</v>
      </c>
      <c r="E110" s="56">
        <v>3.712</v>
      </c>
      <c r="F110" s="56">
        <v>3.712</v>
      </c>
      <c r="G110" s="56">
        <v>74.25</v>
      </c>
      <c r="H110" s="96">
        <v>18</v>
      </c>
    </row>
    <row r="111" spans="1:8" s="75" customFormat="1" ht="15" customHeight="1">
      <c r="A111" s="21">
        <v>7</v>
      </c>
      <c r="B111" s="21" t="s">
        <v>76</v>
      </c>
      <c r="C111" s="96">
        <v>0</v>
      </c>
      <c r="D111" s="58">
        <v>0</v>
      </c>
      <c r="E111" s="56">
        <v>0</v>
      </c>
      <c r="F111" s="56">
        <v>0</v>
      </c>
      <c r="G111" s="56">
        <v>43.704</v>
      </c>
      <c r="H111" s="96">
        <v>0</v>
      </c>
    </row>
    <row r="112" spans="1:8" s="75" customFormat="1" ht="15" customHeight="1">
      <c r="A112" s="21"/>
      <c r="B112" s="99" t="s">
        <v>80</v>
      </c>
      <c r="C112" s="97">
        <f aca="true" t="shared" si="7" ref="C112:H112">SUM(C105:C111)</f>
        <v>58</v>
      </c>
      <c r="D112" s="14">
        <f t="shared" si="7"/>
        <v>4638.273</v>
      </c>
      <c r="E112" s="15">
        <f t="shared" si="7"/>
        <v>10127.344</v>
      </c>
      <c r="F112" s="15">
        <f t="shared" si="7"/>
        <v>10125.105000000001</v>
      </c>
      <c r="G112" s="15">
        <f t="shared" si="7"/>
        <v>440336.11400000006</v>
      </c>
      <c r="H112" s="97">
        <f t="shared" si="7"/>
        <v>1875</v>
      </c>
    </row>
    <row r="113" spans="3:8" s="75" customFormat="1" ht="15" customHeight="1">
      <c r="C113" s="98"/>
      <c r="D113" s="91"/>
      <c r="E113" s="92"/>
      <c r="F113" s="92"/>
      <c r="G113" s="92"/>
      <c r="H113" s="98"/>
    </row>
    <row r="114" spans="1:8" ht="15.75">
      <c r="A114" s="30"/>
      <c r="B114" s="31"/>
      <c r="C114" s="32"/>
      <c r="D114" s="33" t="s">
        <v>110</v>
      </c>
      <c r="E114" s="34"/>
      <c r="F114" s="34"/>
      <c r="G114" s="34"/>
      <c r="H114" s="35"/>
    </row>
    <row r="115" spans="1:8" ht="31.5">
      <c r="A115" s="36" t="s">
        <v>61</v>
      </c>
      <c r="B115" s="37" t="s">
        <v>62</v>
      </c>
      <c r="C115" s="38" t="s">
        <v>5</v>
      </c>
      <c r="D115" s="39" t="s">
        <v>6</v>
      </c>
      <c r="E115" s="40" t="s">
        <v>7</v>
      </c>
      <c r="F115" s="41" t="s">
        <v>8</v>
      </c>
      <c r="G115" s="41" t="s">
        <v>9</v>
      </c>
      <c r="H115" s="42" t="s">
        <v>63</v>
      </c>
    </row>
    <row r="116" spans="1:8" ht="15.75">
      <c r="A116" s="21"/>
      <c r="B116" s="43"/>
      <c r="C116" s="44"/>
      <c r="D116" s="45" t="s">
        <v>11</v>
      </c>
      <c r="E116" s="46" t="s">
        <v>64</v>
      </c>
      <c r="F116" s="46" t="s">
        <v>65</v>
      </c>
      <c r="G116" s="46" t="s">
        <v>66</v>
      </c>
      <c r="H116" s="47" t="s">
        <v>15</v>
      </c>
    </row>
    <row r="117" spans="1:8" ht="15.75">
      <c r="A117" s="21">
        <v>1</v>
      </c>
      <c r="B117" s="43" t="s">
        <v>82</v>
      </c>
      <c r="C117" s="100">
        <v>1</v>
      </c>
      <c r="D117" s="101">
        <v>5</v>
      </c>
      <c r="E117" s="102">
        <v>0</v>
      </c>
      <c r="F117" s="102">
        <v>0</v>
      </c>
      <c r="G117" s="102">
        <v>0</v>
      </c>
      <c r="H117" s="100">
        <v>0</v>
      </c>
    </row>
    <row r="118" spans="1:8" ht="15.75">
      <c r="A118" s="21">
        <v>2</v>
      </c>
      <c r="B118" s="43" t="s">
        <v>93</v>
      </c>
      <c r="C118" s="100">
        <v>1</v>
      </c>
      <c r="D118" s="101">
        <v>32.37</v>
      </c>
      <c r="E118" s="102">
        <v>0</v>
      </c>
      <c r="F118" s="102">
        <v>0</v>
      </c>
      <c r="G118" s="102">
        <v>0</v>
      </c>
      <c r="H118" s="100">
        <v>3</v>
      </c>
    </row>
    <row r="119" spans="1:8" ht="15.75">
      <c r="A119" s="21">
        <v>3</v>
      </c>
      <c r="B119" s="43" t="s">
        <v>70</v>
      </c>
      <c r="C119" s="100">
        <v>1</v>
      </c>
      <c r="D119" s="101">
        <v>99.39</v>
      </c>
      <c r="E119" s="102">
        <v>0</v>
      </c>
      <c r="F119" s="102">
        <v>0</v>
      </c>
      <c r="G119" s="102">
        <v>68.26</v>
      </c>
      <c r="H119" s="100">
        <v>5</v>
      </c>
    </row>
    <row r="120" spans="1:8" ht="15.75">
      <c r="A120" s="21">
        <v>4</v>
      </c>
      <c r="B120" s="43" t="s">
        <v>75</v>
      </c>
      <c r="C120" s="100">
        <v>1</v>
      </c>
      <c r="D120" s="101">
        <v>62.25</v>
      </c>
      <c r="E120" s="102">
        <v>0</v>
      </c>
      <c r="F120" s="102">
        <v>0</v>
      </c>
      <c r="G120" s="102">
        <v>0</v>
      </c>
      <c r="H120" s="100">
        <v>0</v>
      </c>
    </row>
    <row r="121" spans="1:8" ht="15.75">
      <c r="A121" s="21">
        <v>5</v>
      </c>
      <c r="B121" s="43" t="s">
        <v>87</v>
      </c>
      <c r="C121" s="100">
        <v>7</v>
      </c>
      <c r="D121" s="101">
        <v>261.01</v>
      </c>
      <c r="E121" s="102">
        <v>22.315</v>
      </c>
      <c r="F121" s="102">
        <v>39.051</v>
      </c>
      <c r="G121" s="102">
        <v>990.765</v>
      </c>
      <c r="H121" s="100">
        <v>75</v>
      </c>
    </row>
    <row r="122" spans="1:8" ht="15.75">
      <c r="A122" s="21">
        <v>6</v>
      </c>
      <c r="B122" s="43" t="s">
        <v>76</v>
      </c>
      <c r="C122" s="100">
        <v>4</v>
      </c>
      <c r="D122" s="101">
        <v>113.94</v>
      </c>
      <c r="E122" s="102">
        <v>1.161</v>
      </c>
      <c r="F122" s="102">
        <v>2.902</v>
      </c>
      <c r="G122" s="102">
        <v>258.94</v>
      </c>
      <c r="H122" s="100">
        <v>15</v>
      </c>
    </row>
    <row r="123" spans="1:8" ht="15.75">
      <c r="A123" s="21"/>
      <c r="B123" s="74" t="s">
        <v>80</v>
      </c>
      <c r="C123" s="103">
        <f aca="true" t="shared" si="8" ref="C123:H123">SUM(C117:C122)</f>
        <v>15</v>
      </c>
      <c r="D123" s="103">
        <f t="shared" si="8"/>
        <v>573.96</v>
      </c>
      <c r="E123" s="103">
        <f t="shared" si="8"/>
        <v>23.476000000000003</v>
      </c>
      <c r="F123" s="103">
        <f t="shared" si="8"/>
        <v>41.953</v>
      </c>
      <c r="G123" s="103">
        <f t="shared" si="8"/>
        <v>1317.9650000000001</v>
      </c>
      <c r="H123" s="103">
        <f t="shared" si="8"/>
        <v>98</v>
      </c>
    </row>
    <row r="125" spans="1:8" ht="15.75">
      <c r="A125" s="30"/>
      <c r="B125" s="31"/>
      <c r="C125" s="32"/>
      <c r="D125" s="33" t="s">
        <v>111</v>
      </c>
      <c r="E125" s="34"/>
      <c r="F125" s="34"/>
      <c r="G125" s="34"/>
      <c r="H125" s="35"/>
    </row>
    <row r="126" spans="1:8" ht="31.5">
      <c r="A126" s="36" t="s">
        <v>61</v>
      </c>
      <c r="B126" s="37" t="s">
        <v>62</v>
      </c>
      <c r="C126" s="38" t="s">
        <v>5</v>
      </c>
      <c r="D126" s="39" t="s">
        <v>6</v>
      </c>
      <c r="E126" s="40" t="s">
        <v>7</v>
      </c>
      <c r="F126" s="41" t="s">
        <v>8</v>
      </c>
      <c r="G126" s="41" t="s">
        <v>9</v>
      </c>
      <c r="H126" s="42" t="s">
        <v>63</v>
      </c>
    </row>
    <row r="127" spans="1:8" ht="15.75">
      <c r="A127" s="21"/>
      <c r="B127" s="43"/>
      <c r="C127" s="44"/>
      <c r="D127" s="45" t="s">
        <v>11</v>
      </c>
      <c r="E127" s="46" t="s">
        <v>64</v>
      </c>
      <c r="F127" s="46" t="s">
        <v>65</v>
      </c>
      <c r="G127" s="46" t="s">
        <v>66</v>
      </c>
      <c r="H127" s="47" t="s">
        <v>15</v>
      </c>
    </row>
    <row r="128" spans="1:8" ht="15.75">
      <c r="A128" s="21">
        <v>1</v>
      </c>
      <c r="B128" s="43" t="s">
        <v>76</v>
      </c>
      <c r="C128" s="54">
        <v>48</v>
      </c>
      <c r="D128" s="58">
        <v>2502.32</v>
      </c>
      <c r="E128" s="56">
        <v>31.347</v>
      </c>
      <c r="F128" s="56">
        <v>167.257</v>
      </c>
      <c r="G128" s="56">
        <v>4359.306</v>
      </c>
      <c r="H128" s="57">
        <v>800</v>
      </c>
    </row>
    <row r="129" spans="1:8" ht="15.75">
      <c r="A129" s="59">
        <v>2</v>
      </c>
      <c r="B129" s="43" t="s">
        <v>112</v>
      </c>
      <c r="C129" s="54">
        <v>8</v>
      </c>
      <c r="D129" s="58">
        <v>239.54</v>
      </c>
      <c r="E129" s="56">
        <v>0</v>
      </c>
      <c r="F129" s="56">
        <v>0</v>
      </c>
      <c r="G129" s="56">
        <v>223.217</v>
      </c>
      <c r="H129" s="57">
        <v>0</v>
      </c>
    </row>
    <row r="130" spans="1:8" ht="15.75">
      <c r="A130" s="59"/>
      <c r="B130" s="65" t="s">
        <v>80</v>
      </c>
      <c r="C130" s="66">
        <f aca="true" t="shared" si="9" ref="C130:H130">SUM(C128:C129)</f>
        <v>56</v>
      </c>
      <c r="D130" s="66">
        <f t="shared" si="9"/>
        <v>2741.86</v>
      </c>
      <c r="E130" s="66">
        <f t="shared" si="9"/>
        <v>31.347</v>
      </c>
      <c r="F130" s="66">
        <f t="shared" si="9"/>
        <v>167.257</v>
      </c>
      <c r="G130" s="66">
        <f t="shared" si="9"/>
        <v>4582.522999999999</v>
      </c>
      <c r="H130" s="66">
        <f t="shared" si="9"/>
        <v>800</v>
      </c>
    </row>
    <row r="131" spans="1:8" ht="15.75">
      <c r="A131" s="67"/>
      <c r="B131" s="68"/>
      <c r="C131" s="69"/>
      <c r="D131" s="70"/>
      <c r="E131" s="71"/>
      <c r="F131" s="71"/>
      <c r="G131" s="71"/>
      <c r="H131" s="72"/>
    </row>
    <row r="133" spans="1:8" ht="15.75">
      <c r="A133" s="30"/>
      <c r="B133" s="31"/>
      <c r="C133" s="32"/>
      <c r="D133" s="33" t="s">
        <v>113</v>
      </c>
      <c r="E133" s="34"/>
      <c r="F133" s="34"/>
      <c r="G133" s="34"/>
      <c r="H133" s="35"/>
    </row>
    <row r="134" spans="1:8" ht="31.5">
      <c r="A134" s="36" t="s">
        <v>61</v>
      </c>
      <c r="B134" s="37" t="s">
        <v>62</v>
      </c>
      <c r="C134" s="38" t="s">
        <v>5</v>
      </c>
      <c r="D134" s="39" t="s">
        <v>6</v>
      </c>
      <c r="E134" s="40" t="s">
        <v>7</v>
      </c>
      <c r="F134" s="41" t="s">
        <v>8</v>
      </c>
      <c r="G134" s="41" t="s">
        <v>9</v>
      </c>
      <c r="H134" s="42" t="s">
        <v>63</v>
      </c>
    </row>
    <row r="135" spans="1:8" ht="15.75">
      <c r="A135" s="21"/>
      <c r="B135" s="43"/>
      <c r="C135" s="44"/>
      <c r="D135" s="45" t="s">
        <v>11</v>
      </c>
      <c r="E135" s="46" t="s">
        <v>64</v>
      </c>
      <c r="F135" s="46" t="s">
        <v>65</v>
      </c>
      <c r="G135" s="46" t="s">
        <v>66</v>
      </c>
      <c r="H135" s="47" t="s">
        <v>15</v>
      </c>
    </row>
    <row r="136" spans="1:8" ht="15.75">
      <c r="A136" s="73">
        <v>1</v>
      </c>
      <c r="B136" s="49" t="s">
        <v>112</v>
      </c>
      <c r="C136" s="50">
        <v>4</v>
      </c>
      <c r="D136" s="51">
        <v>1075</v>
      </c>
      <c r="E136" s="52">
        <v>5.671</v>
      </c>
      <c r="F136" s="52">
        <v>24.505</v>
      </c>
      <c r="G136" s="52">
        <v>130</v>
      </c>
      <c r="H136" s="53">
        <v>30</v>
      </c>
    </row>
    <row r="137" spans="1:8" ht="15.75">
      <c r="A137" s="21">
        <v>2</v>
      </c>
      <c r="B137" s="43" t="s">
        <v>101</v>
      </c>
      <c r="C137" s="54">
        <v>1</v>
      </c>
      <c r="D137" s="58">
        <v>178.05</v>
      </c>
      <c r="E137" s="56">
        <v>67.842</v>
      </c>
      <c r="F137" s="56">
        <v>88.192</v>
      </c>
      <c r="G137" s="56">
        <v>3118</v>
      </c>
      <c r="H137" s="57">
        <v>77</v>
      </c>
    </row>
    <row r="138" spans="1:8" ht="15.75">
      <c r="A138" s="59"/>
      <c r="B138" s="65" t="s">
        <v>80</v>
      </c>
      <c r="C138" s="66">
        <f aca="true" t="shared" si="10" ref="C138:H138">SUM(C136:C137)</f>
        <v>5</v>
      </c>
      <c r="D138" s="66">
        <f t="shared" si="10"/>
        <v>1253.05</v>
      </c>
      <c r="E138" s="95">
        <f t="shared" si="10"/>
        <v>73.513</v>
      </c>
      <c r="F138" s="95">
        <f t="shared" si="10"/>
        <v>112.69699999999999</v>
      </c>
      <c r="G138" s="95">
        <f t="shared" si="10"/>
        <v>3248</v>
      </c>
      <c r="H138" s="66">
        <f t="shared" si="10"/>
        <v>107</v>
      </c>
    </row>
    <row r="139" spans="1:8" ht="15.75">
      <c r="A139" s="67"/>
      <c r="B139" s="68"/>
      <c r="C139" s="69"/>
      <c r="D139" s="70"/>
      <c r="E139" s="71"/>
      <c r="F139" s="71"/>
      <c r="G139" s="71"/>
      <c r="H139" s="72"/>
    </row>
    <row r="140" spans="1:8" ht="15.75">
      <c r="A140" s="30"/>
      <c r="B140" s="31"/>
      <c r="C140" s="32"/>
      <c r="D140" s="33" t="s">
        <v>114</v>
      </c>
      <c r="E140" s="34"/>
      <c r="F140" s="34"/>
      <c r="G140" s="34"/>
      <c r="H140" s="35"/>
    </row>
    <row r="141" spans="1:8" ht="31.5">
      <c r="A141" s="36" t="s">
        <v>61</v>
      </c>
      <c r="B141" s="37" t="s">
        <v>62</v>
      </c>
      <c r="C141" s="38" t="s">
        <v>5</v>
      </c>
      <c r="D141" s="39" t="s">
        <v>6</v>
      </c>
      <c r="E141" s="40" t="s">
        <v>7</v>
      </c>
      <c r="F141" s="41" t="s">
        <v>8</v>
      </c>
      <c r="G141" s="41" t="s">
        <v>9</v>
      </c>
      <c r="H141" s="42" t="s">
        <v>63</v>
      </c>
    </row>
    <row r="142" spans="1:8" ht="15.75">
      <c r="A142" s="21"/>
      <c r="B142" s="43"/>
      <c r="C142" s="44"/>
      <c r="D142" s="45" t="s">
        <v>11</v>
      </c>
      <c r="E142" s="46" t="s">
        <v>64</v>
      </c>
      <c r="F142" s="46" t="s">
        <v>65</v>
      </c>
      <c r="G142" s="46" t="s">
        <v>66</v>
      </c>
      <c r="H142" s="47" t="s">
        <v>15</v>
      </c>
    </row>
    <row r="143" spans="1:8" ht="15.75">
      <c r="A143" s="73">
        <v>1</v>
      </c>
      <c r="B143" s="49" t="s">
        <v>84</v>
      </c>
      <c r="C143" s="50">
        <v>6</v>
      </c>
      <c r="D143" s="51">
        <v>411.39</v>
      </c>
      <c r="E143" s="52">
        <v>28.245</v>
      </c>
      <c r="F143" s="52">
        <v>102.8</v>
      </c>
      <c r="G143" s="52">
        <v>294</v>
      </c>
      <c r="H143" s="53">
        <v>212</v>
      </c>
    </row>
    <row r="144" spans="1:8" ht="15.75">
      <c r="A144" s="21">
        <v>2</v>
      </c>
      <c r="B144" s="43" t="s">
        <v>82</v>
      </c>
      <c r="C144" s="54">
        <v>3</v>
      </c>
      <c r="D144" s="58">
        <v>150.27</v>
      </c>
      <c r="E144" s="56">
        <v>30.36</v>
      </c>
      <c r="F144" s="56">
        <v>182.16</v>
      </c>
      <c r="G144" s="56">
        <v>630</v>
      </c>
      <c r="H144" s="57">
        <v>115</v>
      </c>
    </row>
    <row r="145" spans="1:8" ht="15.75">
      <c r="A145" s="21">
        <v>3</v>
      </c>
      <c r="B145" s="43" t="s">
        <v>93</v>
      </c>
      <c r="C145" s="54">
        <v>2</v>
      </c>
      <c r="D145" s="58">
        <v>116.36</v>
      </c>
      <c r="E145" s="56">
        <v>0</v>
      </c>
      <c r="F145" s="56">
        <v>0</v>
      </c>
      <c r="G145" s="56">
        <v>0</v>
      </c>
      <c r="H145" s="57">
        <v>2</v>
      </c>
    </row>
    <row r="146" spans="1:8" ht="15.75">
      <c r="A146" s="21">
        <v>4</v>
      </c>
      <c r="B146" s="43" t="s">
        <v>70</v>
      </c>
      <c r="C146" s="54">
        <v>13</v>
      </c>
      <c r="D146" s="58">
        <v>60.93</v>
      </c>
      <c r="E146" s="56">
        <v>46.778999999999996</v>
      </c>
      <c r="F146" s="56">
        <v>85.836</v>
      </c>
      <c r="G146" s="56">
        <v>2068.74</v>
      </c>
      <c r="H146" s="57">
        <v>40</v>
      </c>
    </row>
    <row r="147" spans="1:8" ht="15.75">
      <c r="A147" s="21">
        <v>5</v>
      </c>
      <c r="B147" s="43" t="s">
        <v>115</v>
      </c>
      <c r="C147" s="54">
        <v>5</v>
      </c>
      <c r="D147" s="58">
        <v>117.79</v>
      </c>
      <c r="E147" s="56">
        <v>0</v>
      </c>
      <c r="F147" s="56">
        <v>0</v>
      </c>
      <c r="G147" s="56">
        <v>25.5</v>
      </c>
      <c r="H147" s="57">
        <v>10</v>
      </c>
    </row>
    <row r="148" spans="1:8" ht="15.75">
      <c r="A148" s="21">
        <v>6</v>
      </c>
      <c r="B148" s="43" t="s">
        <v>75</v>
      </c>
      <c r="C148" s="54">
        <v>6</v>
      </c>
      <c r="D148" s="58">
        <v>113.01</v>
      </c>
      <c r="E148" s="56">
        <v>8.06</v>
      </c>
      <c r="F148" s="56">
        <v>18.136</v>
      </c>
      <c r="G148" s="56">
        <v>140</v>
      </c>
      <c r="H148" s="57">
        <v>27</v>
      </c>
    </row>
    <row r="149" spans="1:8" ht="15.75">
      <c r="A149" s="21">
        <v>7</v>
      </c>
      <c r="B149" s="43" t="s">
        <v>87</v>
      </c>
      <c r="C149" s="54">
        <v>10</v>
      </c>
      <c r="D149" s="58">
        <v>545.87</v>
      </c>
      <c r="E149" s="56">
        <v>10.015</v>
      </c>
      <c r="F149" s="56">
        <v>17.436</v>
      </c>
      <c r="G149" s="56">
        <v>1137.735</v>
      </c>
      <c r="H149" s="57">
        <v>25</v>
      </c>
    </row>
    <row r="150" spans="1:8" ht="15.75">
      <c r="A150" s="21">
        <v>8</v>
      </c>
      <c r="B150" s="43" t="s">
        <v>76</v>
      </c>
      <c r="C150" s="54">
        <v>6</v>
      </c>
      <c r="D150" s="58">
        <v>582.19</v>
      </c>
      <c r="E150" s="56">
        <v>0</v>
      </c>
      <c r="F150" s="56">
        <v>0</v>
      </c>
      <c r="G150" s="56">
        <v>6553.06</v>
      </c>
      <c r="H150" s="57">
        <v>5</v>
      </c>
    </row>
    <row r="151" spans="1:8" ht="15.75">
      <c r="A151" s="59"/>
      <c r="B151" s="65" t="s">
        <v>80</v>
      </c>
      <c r="C151" s="66">
        <f aca="true" t="shared" si="11" ref="C151:H151">SUM(C143:C150)</f>
        <v>51</v>
      </c>
      <c r="D151" s="66">
        <f t="shared" si="11"/>
        <v>2097.81</v>
      </c>
      <c r="E151" s="66">
        <f t="shared" si="11"/>
        <v>123.459</v>
      </c>
      <c r="F151" s="66">
        <f t="shared" si="11"/>
        <v>406.368</v>
      </c>
      <c r="G151" s="66">
        <f t="shared" si="11"/>
        <v>10849.035</v>
      </c>
      <c r="H151" s="66">
        <f t="shared" si="11"/>
        <v>436</v>
      </c>
    </row>
    <row r="152" spans="1:8" ht="15.75">
      <c r="A152" s="67"/>
      <c r="B152" s="68"/>
      <c r="C152" s="69"/>
      <c r="D152" s="70"/>
      <c r="E152" s="71"/>
      <c r="F152" s="71"/>
      <c r="G152" s="71"/>
      <c r="H152" s="72"/>
    </row>
    <row r="153" spans="1:8" ht="15.75">
      <c r="A153" s="75"/>
      <c r="B153" s="89"/>
      <c r="C153" s="90"/>
      <c r="D153" s="91"/>
      <c r="E153" s="92"/>
      <c r="F153" s="92"/>
      <c r="G153" s="92"/>
      <c r="H153" s="93"/>
    </row>
    <row r="154" spans="1:8" ht="15.75">
      <c r="A154" s="30"/>
      <c r="B154" s="31"/>
      <c r="C154" s="32"/>
      <c r="D154" s="33" t="s">
        <v>116</v>
      </c>
      <c r="E154" s="34"/>
      <c r="F154" s="34"/>
      <c r="G154" s="34"/>
      <c r="H154" s="35"/>
    </row>
    <row r="155" spans="1:8" ht="31.5">
      <c r="A155" s="36" t="s">
        <v>61</v>
      </c>
      <c r="B155" s="37" t="s">
        <v>62</v>
      </c>
      <c r="C155" s="38" t="s">
        <v>5</v>
      </c>
      <c r="D155" s="39" t="s">
        <v>6</v>
      </c>
      <c r="E155" s="40" t="s">
        <v>7</v>
      </c>
      <c r="F155" s="41" t="s">
        <v>8</v>
      </c>
      <c r="G155" s="41" t="s">
        <v>9</v>
      </c>
      <c r="H155" s="42" t="s">
        <v>63</v>
      </c>
    </row>
    <row r="156" spans="1:8" ht="15.75">
      <c r="A156" s="21"/>
      <c r="B156" s="43"/>
      <c r="C156" s="44"/>
      <c r="D156" s="45" t="s">
        <v>11</v>
      </c>
      <c r="E156" s="46" t="s">
        <v>64</v>
      </c>
      <c r="F156" s="46" t="s">
        <v>65</v>
      </c>
      <c r="G156" s="46" t="s">
        <v>66</v>
      </c>
      <c r="H156" s="47" t="s">
        <v>15</v>
      </c>
    </row>
    <row r="157" spans="1:8" ht="15.75">
      <c r="A157" s="73">
        <v>1</v>
      </c>
      <c r="B157" s="49" t="s">
        <v>117</v>
      </c>
      <c r="C157" s="50">
        <v>7</v>
      </c>
      <c r="D157" s="51">
        <v>244.33</v>
      </c>
      <c r="E157" s="52">
        <v>0.28</v>
      </c>
      <c r="F157" s="52">
        <v>1.12</v>
      </c>
      <c r="G157" s="52">
        <v>53.218</v>
      </c>
      <c r="H157" s="53">
        <v>6</v>
      </c>
    </row>
    <row r="158" spans="1:8" ht="15.75">
      <c r="A158" s="21">
        <v>2</v>
      </c>
      <c r="B158" s="43" t="s">
        <v>75</v>
      </c>
      <c r="C158" s="54">
        <v>4</v>
      </c>
      <c r="D158" s="58">
        <v>223.59</v>
      </c>
      <c r="E158" s="56">
        <v>0</v>
      </c>
      <c r="F158" s="56">
        <v>0</v>
      </c>
      <c r="G158" s="56">
        <v>0</v>
      </c>
      <c r="H158" s="57">
        <v>0</v>
      </c>
    </row>
    <row r="159" spans="1:8" ht="15.75">
      <c r="A159" s="21"/>
      <c r="B159" s="74" t="s">
        <v>80</v>
      </c>
      <c r="C159" s="13">
        <f aca="true" t="shared" si="12" ref="C159:H159">SUM(C157:C158)</f>
        <v>11</v>
      </c>
      <c r="D159" s="13">
        <f t="shared" si="12"/>
        <v>467.92</v>
      </c>
      <c r="E159" s="15">
        <f t="shared" si="12"/>
        <v>0.28</v>
      </c>
      <c r="F159" s="15">
        <f t="shared" si="12"/>
        <v>1.12</v>
      </c>
      <c r="G159" s="15">
        <f t="shared" si="12"/>
        <v>53.218</v>
      </c>
      <c r="H159" s="13">
        <f t="shared" si="12"/>
        <v>6</v>
      </c>
    </row>
    <row r="160" spans="1:8" ht="15.75">
      <c r="A160" s="75"/>
      <c r="B160" s="76"/>
      <c r="C160" s="77"/>
      <c r="D160" s="81"/>
      <c r="E160" s="78"/>
      <c r="F160" s="78"/>
      <c r="G160" s="78"/>
      <c r="H160" s="79"/>
    </row>
    <row r="161" spans="1:8" ht="15.75">
      <c r="A161" s="30"/>
      <c r="B161" s="31"/>
      <c r="C161" s="32"/>
      <c r="D161" s="33" t="s">
        <v>118</v>
      </c>
      <c r="E161" s="34"/>
      <c r="F161" s="34"/>
      <c r="G161" s="34"/>
      <c r="H161" s="35"/>
    </row>
    <row r="162" spans="1:8" ht="31.5">
      <c r="A162" s="36" t="s">
        <v>61</v>
      </c>
      <c r="B162" s="37" t="s">
        <v>62</v>
      </c>
      <c r="C162" s="38" t="s">
        <v>5</v>
      </c>
      <c r="D162" s="39" t="s">
        <v>6</v>
      </c>
      <c r="E162" s="40" t="s">
        <v>7</v>
      </c>
      <c r="F162" s="41" t="s">
        <v>8</v>
      </c>
      <c r="G162" s="41" t="s">
        <v>9</v>
      </c>
      <c r="H162" s="42" t="s">
        <v>63</v>
      </c>
    </row>
    <row r="163" spans="1:8" ht="15.75">
      <c r="A163" s="21"/>
      <c r="B163" s="43"/>
      <c r="C163" s="44"/>
      <c r="D163" s="45" t="s">
        <v>11</v>
      </c>
      <c r="E163" s="46" t="s">
        <v>64</v>
      </c>
      <c r="F163" s="46" t="s">
        <v>65</v>
      </c>
      <c r="G163" s="46" t="s">
        <v>66</v>
      </c>
      <c r="H163" s="47" t="s">
        <v>15</v>
      </c>
    </row>
    <row r="164" spans="1:8" ht="15.75">
      <c r="A164" s="73">
        <v>1</v>
      </c>
      <c r="B164" s="49" t="s">
        <v>100</v>
      </c>
      <c r="C164" s="50">
        <v>1</v>
      </c>
      <c r="D164" s="51">
        <v>150</v>
      </c>
      <c r="E164" s="52">
        <v>0</v>
      </c>
      <c r="F164" s="52">
        <v>0</v>
      </c>
      <c r="G164" s="52">
        <v>0</v>
      </c>
      <c r="H164" s="53">
        <v>0</v>
      </c>
    </row>
    <row r="165" spans="1:8" ht="15.75">
      <c r="A165" s="21">
        <v>2</v>
      </c>
      <c r="B165" s="43" t="s">
        <v>93</v>
      </c>
      <c r="C165" s="54">
        <v>1</v>
      </c>
      <c r="D165" s="58">
        <v>32.37</v>
      </c>
      <c r="E165" s="56">
        <v>0</v>
      </c>
      <c r="F165" s="56">
        <v>0</v>
      </c>
      <c r="G165" s="56">
        <v>0</v>
      </c>
      <c r="H165" s="57">
        <v>0</v>
      </c>
    </row>
    <row r="166" spans="1:8" ht="15.75">
      <c r="A166" s="21">
        <v>3</v>
      </c>
      <c r="B166" s="43" t="s">
        <v>101</v>
      </c>
      <c r="C166" s="54">
        <v>3</v>
      </c>
      <c r="D166" s="58">
        <v>957.9</v>
      </c>
      <c r="E166" s="56">
        <v>878.118</v>
      </c>
      <c r="F166" s="56">
        <v>1141.553</v>
      </c>
      <c r="G166" s="56">
        <v>59038</v>
      </c>
      <c r="H166" s="57">
        <v>25</v>
      </c>
    </row>
    <row r="167" spans="1:8" ht="15.75">
      <c r="A167" s="21">
        <v>4</v>
      </c>
      <c r="B167" s="43" t="s">
        <v>119</v>
      </c>
      <c r="C167" s="54">
        <v>2</v>
      </c>
      <c r="D167" s="58">
        <v>1998</v>
      </c>
      <c r="E167" s="56">
        <v>1814.817</v>
      </c>
      <c r="F167" s="56">
        <v>7259.268</v>
      </c>
      <c r="G167" s="56">
        <v>156942</v>
      </c>
      <c r="H167" s="57">
        <v>245</v>
      </c>
    </row>
    <row r="168" spans="1:8" ht="15.75">
      <c r="A168" s="21">
        <v>5</v>
      </c>
      <c r="B168" s="43" t="s">
        <v>89</v>
      </c>
      <c r="C168" s="54">
        <v>1</v>
      </c>
      <c r="D168" s="58">
        <v>32.37</v>
      </c>
      <c r="E168" s="56">
        <v>0</v>
      </c>
      <c r="F168" s="56">
        <v>0</v>
      </c>
      <c r="G168" s="56">
        <v>0</v>
      </c>
      <c r="H168" s="57">
        <v>0</v>
      </c>
    </row>
    <row r="169" spans="1:8" ht="15.75">
      <c r="A169" s="21">
        <v>6</v>
      </c>
      <c r="B169" s="43" t="s">
        <v>97</v>
      </c>
      <c r="C169" s="54">
        <v>8</v>
      </c>
      <c r="D169" s="58">
        <v>385</v>
      </c>
      <c r="E169" s="56">
        <v>0.4</v>
      </c>
      <c r="F169" s="56">
        <v>0.98</v>
      </c>
      <c r="G169" s="56">
        <v>157</v>
      </c>
      <c r="H169" s="57">
        <v>8</v>
      </c>
    </row>
    <row r="170" spans="1:8" ht="15.75">
      <c r="A170" s="59"/>
      <c r="B170" s="65" t="s">
        <v>80</v>
      </c>
      <c r="C170" s="66">
        <f aca="true" t="shared" si="13" ref="C170:H170">SUM(C164:C169)</f>
        <v>16</v>
      </c>
      <c r="D170" s="66">
        <f t="shared" si="13"/>
        <v>3555.64</v>
      </c>
      <c r="E170" s="95">
        <f t="shared" si="13"/>
        <v>2693.335</v>
      </c>
      <c r="F170" s="95">
        <f t="shared" si="13"/>
        <v>8401.801</v>
      </c>
      <c r="G170" s="95">
        <f t="shared" si="13"/>
        <v>216137</v>
      </c>
      <c r="H170" s="66">
        <f t="shared" si="13"/>
        <v>278</v>
      </c>
    </row>
    <row r="171" spans="1:8" ht="15.75">
      <c r="A171" s="75"/>
      <c r="B171" s="104"/>
      <c r="C171" s="105"/>
      <c r="D171" s="106"/>
      <c r="E171" s="107"/>
      <c r="F171" s="107"/>
      <c r="G171" s="107"/>
      <c r="H171" s="108"/>
    </row>
    <row r="172" spans="1:8" ht="15.75">
      <c r="A172" s="30"/>
      <c r="B172" s="31"/>
      <c r="C172" s="32"/>
      <c r="D172" s="33" t="s">
        <v>120</v>
      </c>
      <c r="E172" s="34"/>
      <c r="F172" s="34"/>
      <c r="G172" s="34"/>
      <c r="H172" s="35"/>
    </row>
    <row r="173" spans="1:8" ht="31.5">
      <c r="A173" s="36" t="s">
        <v>61</v>
      </c>
      <c r="B173" s="37" t="s">
        <v>62</v>
      </c>
      <c r="C173" s="38" t="s">
        <v>5</v>
      </c>
      <c r="D173" s="39" t="s">
        <v>6</v>
      </c>
      <c r="E173" s="40" t="s">
        <v>7</v>
      </c>
      <c r="F173" s="41" t="s">
        <v>8</v>
      </c>
      <c r="G173" s="41" t="s">
        <v>9</v>
      </c>
      <c r="H173" s="42" t="s">
        <v>63</v>
      </c>
    </row>
    <row r="174" spans="1:8" ht="15.75">
      <c r="A174" s="21"/>
      <c r="B174" s="43"/>
      <c r="C174" s="44"/>
      <c r="D174" s="45" t="s">
        <v>11</v>
      </c>
      <c r="E174" s="46" t="s">
        <v>64</v>
      </c>
      <c r="F174" s="46" t="s">
        <v>65</v>
      </c>
      <c r="G174" s="46" t="s">
        <v>66</v>
      </c>
      <c r="H174" s="47" t="s">
        <v>15</v>
      </c>
    </row>
    <row r="175" spans="1:8" ht="15.75">
      <c r="A175" s="109">
        <v>1</v>
      </c>
      <c r="B175" s="49" t="s">
        <v>121</v>
      </c>
      <c r="C175" s="50">
        <v>3</v>
      </c>
      <c r="D175" s="51">
        <v>706.75</v>
      </c>
      <c r="E175" s="52">
        <v>1000.414</v>
      </c>
      <c r="F175" s="52">
        <v>25200.37</v>
      </c>
      <c r="G175" s="52">
        <v>103867.582</v>
      </c>
      <c r="H175" s="53">
        <v>2500</v>
      </c>
    </row>
    <row r="176" spans="1:8" ht="15.75">
      <c r="A176" s="110">
        <v>2</v>
      </c>
      <c r="B176" s="43" t="s">
        <v>84</v>
      </c>
      <c r="C176" s="54">
        <v>7</v>
      </c>
      <c r="D176" s="58">
        <v>185</v>
      </c>
      <c r="E176" s="56">
        <v>32.811</v>
      </c>
      <c r="F176" s="56">
        <v>49.216</v>
      </c>
      <c r="G176" s="56">
        <v>1897.129</v>
      </c>
      <c r="H176" s="57">
        <v>50</v>
      </c>
    </row>
    <row r="177" spans="1:8" ht="15.75">
      <c r="A177" s="110">
        <v>4</v>
      </c>
      <c r="B177" s="43" t="s">
        <v>83</v>
      </c>
      <c r="C177" s="54">
        <v>3</v>
      </c>
      <c r="D177" s="58">
        <v>15</v>
      </c>
      <c r="E177" s="56">
        <v>0</v>
      </c>
      <c r="F177" s="56">
        <v>0</v>
      </c>
      <c r="G177" s="56">
        <v>14.35</v>
      </c>
      <c r="H177" s="57">
        <v>5</v>
      </c>
    </row>
    <row r="178" spans="1:8" ht="15.75">
      <c r="A178" s="110">
        <v>6</v>
      </c>
      <c r="B178" s="43" t="s">
        <v>93</v>
      </c>
      <c r="C178" s="54">
        <v>1</v>
      </c>
      <c r="D178" s="58">
        <v>33.31</v>
      </c>
      <c r="E178" s="56">
        <v>0</v>
      </c>
      <c r="F178" s="56">
        <v>0</v>
      </c>
      <c r="G178" s="56">
        <v>7.268</v>
      </c>
      <c r="H178" s="57">
        <v>0</v>
      </c>
    </row>
    <row r="179" spans="1:8" ht="15.75">
      <c r="A179" s="110">
        <v>7</v>
      </c>
      <c r="B179" s="43" t="s">
        <v>70</v>
      </c>
      <c r="C179" s="54">
        <v>6</v>
      </c>
      <c r="D179" s="58">
        <v>144</v>
      </c>
      <c r="E179" s="56">
        <v>0.08</v>
      </c>
      <c r="F179" s="56">
        <v>0.12</v>
      </c>
      <c r="G179" s="56">
        <v>74.154</v>
      </c>
      <c r="H179" s="57">
        <v>0</v>
      </c>
    </row>
    <row r="180" spans="1:8" ht="15.75">
      <c r="A180" s="110">
        <v>8</v>
      </c>
      <c r="B180" s="43" t="s">
        <v>90</v>
      </c>
      <c r="C180" s="54">
        <v>2</v>
      </c>
      <c r="D180" s="58">
        <v>15.98</v>
      </c>
      <c r="E180" s="56">
        <v>0</v>
      </c>
      <c r="F180" s="56">
        <v>0</v>
      </c>
      <c r="G180" s="56">
        <v>20.51</v>
      </c>
      <c r="H180" s="57">
        <v>15</v>
      </c>
    </row>
    <row r="181" spans="1:8" ht="15.75">
      <c r="A181" s="110">
        <v>10</v>
      </c>
      <c r="B181" s="43" t="s">
        <v>89</v>
      </c>
      <c r="C181" s="54">
        <v>2</v>
      </c>
      <c r="D181" s="58">
        <v>44</v>
      </c>
      <c r="E181" s="56">
        <v>0.047</v>
      </c>
      <c r="F181" s="56">
        <v>0.047</v>
      </c>
      <c r="G181" s="56">
        <v>21.377</v>
      </c>
      <c r="H181" s="57">
        <v>5</v>
      </c>
    </row>
    <row r="182" spans="1:8" ht="15.75">
      <c r="A182" s="110">
        <v>13</v>
      </c>
      <c r="B182" s="43" t="s">
        <v>76</v>
      </c>
      <c r="C182" s="54">
        <v>5</v>
      </c>
      <c r="D182" s="58">
        <v>428</v>
      </c>
      <c r="E182" s="56">
        <v>0.22</v>
      </c>
      <c r="F182" s="56">
        <v>0.55</v>
      </c>
      <c r="G182" s="56">
        <v>14.962</v>
      </c>
      <c r="H182" s="57">
        <v>30</v>
      </c>
    </row>
    <row r="183" spans="1:8" ht="15.75">
      <c r="A183" s="111">
        <v>14</v>
      </c>
      <c r="B183" s="60" t="s">
        <v>122</v>
      </c>
      <c r="C183" s="61">
        <v>0</v>
      </c>
      <c r="D183" s="62">
        <v>0</v>
      </c>
      <c r="E183" s="63">
        <v>51.005</v>
      </c>
      <c r="F183" s="63">
        <v>416.915</v>
      </c>
      <c r="G183" s="63">
        <v>764</v>
      </c>
      <c r="H183" s="64">
        <v>0</v>
      </c>
    </row>
    <row r="184" spans="1:8" ht="15.75">
      <c r="A184" s="111">
        <v>15</v>
      </c>
      <c r="B184" s="60" t="s">
        <v>123</v>
      </c>
      <c r="C184" s="61">
        <v>0</v>
      </c>
      <c r="D184" s="62">
        <v>0</v>
      </c>
      <c r="E184" s="63">
        <v>487.977</v>
      </c>
      <c r="F184" s="63">
        <v>79.7</v>
      </c>
      <c r="G184" s="63">
        <v>246</v>
      </c>
      <c r="H184" s="64">
        <v>0</v>
      </c>
    </row>
    <row r="185" spans="1:8" ht="15.75">
      <c r="A185" s="21"/>
      <c r="B185" s="74" t="s">
        <v>80</v>
      </c>
      <c r="C185" s="13">
        <f>SUM(C175:C184)</f>
        <v>29</v>
      </c>
      <c r="D185" s="13">
        <f>SUM(D175:D184)</f>
        <v>1572.04</v>
      </c>
      <c r="E185" s="15">
        <f>SUM(E175:E182)</f>
        <v>1033.572</v>
      </c>
      <c r="F185" s="13">
        <f>SUM(F175:F184)</f>
        <v>25746.917999999998</v>
      </c>
      <c r="G185" s="13">
        <f>SUM(G175:G184)</f>
        <v>106927.33199999998</v>
      </c>
      <c r="H185" s="13">
        <f>SUM(H175:H184)</f>
        <v>2605</v>
      </c>
    </row>
    <row r="186" spans="1:8" ht="15.75">
      <c r="A186" s="75"/>
      <c r="B186" s="76"/>
      <c r="C186" s="77"/>
      <c r="D186" s="81"/>
      <c r="E186" s="78"/>
      <c r="F186" s="78"/>
      <c r="G186" s="78"/>
      <c r="H186" s="79"/>
    </row>
    <row r="187" spans="1:8" ht="15.75">
      <c r="A187" s="30"/>
      <c r="B187" s="31"/>
      <c r="C187" s="32"/>
      <c r="D187" s="33" t="s">
        <v>124</v>
      </c>
      <c r="E187" s="34"/>
      <c r="F187" s="34"/>
      <c r="G187" s="34"/>
      <c r="H187" s="35"/>
    </row>
    <row r="188" spans="1:8" ht="31.5">
      <c r="A188" s="36" t="s">
        <v>61</v>
      </c>
      <c r="B188" s="37" t="s">
        <v>62</v>
      </c>
      <c r="C188" s="38" t="s">
        <v>5</v>
      </c>
      <c r="D188" s="39" t="s">
        <v>6</v>
      </c>
      <c r="E188" s="40" t="s">
        <v>7</v>
      </c>
      <c r="F188" s="41" t="s">
        <v>8</v>
      </c>
      <c r="G188" s="41" t="s">
        <v>9</v>
      </c>
      <c r="H188" s="42" t="s">
        <v>63</v>
      </c>
    </row>
    <row r="189" spans="1:8" ht="15.75">
      <c r="A189" s="21"/>
      <c r="B189" s="43"/>
      <c r="C189" s="44"/>
      <c r="D189" s="45" t="s">
        <v>11</v>
      </c>
      <c r="E189" s="46" t="s">
        <v>64</v>
      </c>
      <c r="F189" s="46" t="s">
        <v>65</v>
      </c>
      <c r="G189" s="46" t="s">
        <v>66</v>
      </c>
      <c r="H189" s="47" t="s">
        <v>15</v>
      </c>
    </row>
    <row r="190" spans="1:8" ht="15.75">
      <c r="A190" s="73">
        <v>1</v>
      </c>
      <c r="B190" s="49" t="s">
        <v>82</v>
      </c>
      <c r="C190" s="50">
        <v>5</v>
      </c>
      <c r="D190" s="51">
        <v>131.91</v>
      </c>
      <c r="E190" s="52">
        <v>45.578</v>
      </c>
      <c r="F190" s="52">
        <v>100.272</v>
      </c>
      <c r="G190" s="52">
        <v>1796</v>
      </c>
      <c r="H190" s="53">
        <v>250</v>
      </c>
    </row>
    <row r="191" spans="1:8" ht="15.75">
      <c r="A191" s="1">
        <v>2</v>
      </c>
      <c r="B191" s="43" t="s">
        <v>87</v>
      </c>
      <c r="C191" s="54">
        <v>29</v>
      </c>
      <c r="D191" s="58">
        <v>1002</v>
      </c>
      <c r="E191" s="56">
        <v>167.71</v>
      </c>
      <c r="F191" s="56">
        <v>402.504</v>
      </c>
      <c r="G191" s="56">
        <v>3893</v>
      </c>
      <c r="H191" s="57">
        <v>400</v>
      </c>
    </row>
    <row r="192" spans="1:8" ht="15.75">
      <c r="A192" s="21">
        <v>3</v>
      </c>
      <c r="B192" s="43" t="s">
        <v>76</v>
      </c>
      <c r="C192" s="54">
        <v>11</v>
      </c>
      <c r="D192" s="58">
        <v>900.62</v>
      </c>
      <c r="E192" s="56">
        <v>0</v>
      </c>
      <c r="F192" s="56">
        <v>0</v>
      </c>
      <c r="G192" s="56">
        <v>108</v>
      </c>
      <c r="H192" s="57">
        <v>0</v>
      </c>
    </row>
    <row r="193" spans="1:8" ht="15.75">
      <c r="A193" s="21">
        <v>4</v>
      </c>
      <c r="B193" s="43" t="s">
        <v>79</v>
      </c>
      <c r="C193" s="54">
        <v>0</v>
      </c>
      <c r="D193" s="58">
        <v>0</v>
      </c>
      <c r="E193" s="56">
        <v>0</v>
      </c>
      <c r="F193" s="56">
        <v>0</v>
      </c>
      <c r="G193" s="56">
        <v>350</v>
      </c>
      <c r="H193" s="57">
        <v>0</v>
      </c>
    </row>
    <row r="194" spans="1:8" ht="15.75">
      <c r="A194" s="59"/>
      <c r="B194" s="65" t="s">
        <v>80</v>
      </c>
      <c r="C194" s="66">
        <f aca="true" t="shared" si="14" ref="C194:H194">SUM(C190:C193)</f>
        <v>45</v>
      </c>
      <c r="D194" s="66">
        <f t="shared" si="14"/>
        <v>2034.5300000000002</v>
      </c>
      <c r="E194" s="95">
        <f t="shared" si="14"/>
        <v>213.288</v>
      </c>
      <c r="F194" s="95">
        <f t="shared" si="14"/>
        <v>502.776</v>
      </c>
      <c r="G194" s="95">
        <f t="shared" si="14"/>
        <v>6147</v>
      </c>
      <c r="H194" s="66">
        <f t="shared" si="14"/>
        <v>650</v>
      </c>
    </row>
    <row r="195" spans="1:8" ht="15.75">
      <c r="A195" s="67"/>
      <c r="B195" s="104"/>
      <c r="C195" s="105"/>
      <c r="D195" s="106"/>
      <c r="E195" s="107"/>
      <c r="F195" s="107"/>
      <c r="G195" s="107"/>
      <c r="H195" s="108"/>
    </row>
    <row r="196" spans="1:8" ht="15.75">
      <c r="A196" s="30"/>
      <c r="B196" s="31"/>
      <c r="C196" s="32"/>
      <c r="D196" s="33" t="s">
        <v>125</v>
      </c>
      <c r="E196" s="34"/>
      <c r="F196" s="34"/>
      <c r="G196" s="34"/>
      <c r="H196" s="35"/>
    </row>
    <row r="197" spans="1:8" ht="31.5">
      <c r="A197" s="112" t="s">
        <v>61</v>
      </c>
      <c r="B197" s="113" t="s">
        <v>62</v>
      </c>
      <c r="C197" s="114" t="s">
        <v>5</v>
      </c>
      <c r="D197" s="115" t="s">
        <v>6</v>
      </c>
      <c r="E197" s="116" t="s">
        <v>7</v>
      </c>
      <c r="F197" s="117" t="s">
        <v>8</v>
      </c>
      <c r="G197" s="117" t="s">
        <v>9</v>
      </c>
      <c r="H197" s="118" t="s">
        <v>63</v>
      </c>
    </row>
    <row r="198" spans="1:8" ht="15.75">
      <c r="A198" s="21"/>
      <c r="B198" s="43"/>
      <c r="C198" s="44"/>
      <c r="D198" s="45" t="s">
        <v>11</v>
      </c>
      <c r="E198" s="46" t="s">
        <v>64</v>
      </c>
      <c r="F198" s="46" t="s">
        <v>65</v>
      </c>
      <c r="G198" s="46" t="s">
        <v>66</v>
      </c>
      <c r="H198" s="47" t="s">
        <v>15</v>
      </c>
    </row>
    <row r="199" spans="1:8" ht="15.75">
      <c r="A199" s="21">
        <v>1</v>
      </c>
      <c r="B199" s="49" t="s">
        <v>72</v>
      </c>
      <c r="C199" s="50">
        <v>1</v>
      </c>
      <c r="D199" s="51">
        <v>895.42</v>
      </c>
      <c r="E199" s="52">
        <v>1805.295</v>
      </c>
      <c r="F199" s="52">
        <v>1353.971</v>
      </c>
      <c r="G199" s="52">
        <v>85054</v>
      </c>
      <c r="H199" s="53">
        <v>573</v>
      </c>
    </row>
    <row r="200" spans="1:8" ht="15.75">
      <c r="A200" s="59">
        <v>2</v>
      </c>
      <c r="B200" s="60" t="s">
        <v>79</v>
      </c>
      <c r="C200" s="61">
        <v>0</v>
      </c>
      <c r="D200" s="62">
        <v>0</v>
      </c>
      <c r="E200" s="63">
        <v>0</v>
      </c>
      <c r="F200" s="63">
        <v>0</v>
      </c>
      <c r="G200" s="63">
        <v>0.25</v>
      </c>
      <c r="H200" s="64">
        <v>0</v>
      </c>
    </row>
    <row r="201" spans="1:8" ht="15.75">
      <c r="A201" s="59"/>
      <c r="B201" s="65" t="s">
        <v>80</v>
      </c>
      <c r="C201" s="66">
        <f aca="true" t="shared" si="15" ref="C201:H201">SUM(C199:C200)</f>
        <v>1</v>
      </c>
      <c r="D201" s="66">
        <f t="shared" si="15"/>
        <v>895.42</v>
      </c>
      <c r="E201" s="95">
        <f t="shared" si="15"/>
        <v>1805.295</v>
      </c>
      <c r="F201" s="95">
        <f t="shared" si="15"/>
        <v>1353.971</v>
      </c>
      <c r="G201" s="95">
        <f t="shared" si="15"/>
        <v>85054.25</v>
      </c>
      <c r="H201" s="66">
        <f t="shared" si="15"/>
        <v>573</v>
      </c>
    </row>
    <row r="202" spans="1:8" ht="15.75">
      <c r="A202" s="67"/>
      <c r="B202" s="68"/>
      <c r="C202" s="69"/>
      <c r="D202" s="70"/>
      <c r="E202" s="71"/>
      <c r="F202" s="71"/>
      <c r="G202" s="71"/>
      <c r="H202" s="72"/>
    </row>
    <row r="203" spans="1:8" ht="15.75">
      <c r="A203" s="30"/>
      <c r="B203" s="31"/>
      <c r="C203" s="32"/>
      <c r="D203" s="33" t="s">
        <v>126</v>
      </c>
      <c r="E203" s="34"/>
      <c r="F203" s="34"/>
      <c r="G203" s="34"/>
      <c r="H203" s="35"/>
    </row>
    <row r="204" spans="1:8" ht="31.5">
      <c r="A204" s="36" t="s">
        <v>61</v>
      </c>
      <c r="B204" s="37" t="s">
        <v>62</v>
      </c>
      <c r="C204" s="38" t="s">
        <v>5</v>
      </c>
      <c r="D204" s="39" t="s">
        <v>6</v>
      </c>
      <c r="E204" s="40" t="s">
        <v>7</v>
      </c>
      <c r="F204" s="41" t="s">
        <v>8</v>
      </c>
      <c r="G204" s="41" t="s">
        <v>9</v>
      </c>
      <c r="H204" s="42" t="s">
        <v>63</v>
      </c>
    </row>
    <row r="205" spans="1:8" ht="15.75">
      <c r="A205" s="21"/>
      <c r="B205" s="43"/>
      <c r="C205" s="44"/>
      <c r="D205" s="45" t="s">
        <v>11</v>
      </c>
      <c r="E205" s="46" t="s">
        <v>64</v>
      </c>
      <c r="F205" s="46" t="s">
        <v>65</v>
      </c>
      <c r="G205" s="46" t="s">
        <v>66</v>
      </c>
      <c r="H205" s="47" t="s">
        <v>15</v>
      </c>
    </row>
    <row r="206" spans="1:8" ht="15.75">
      <c r="A206" s="73">
        <v>1</v>
      </c>
      <c r="B206" s="43" t="s">
        <v>82</v>
      </c>
      <c r="C206" s="50">
        <v>31</v>
      </c>
      <c r="D206" s="50">
        <v>148.01</v>
      </c>
      <c r="E206" s="50">
        <v>147.217</v>
      </c>
      <c r="F206" s="50">
        <v>515.261</v>
      </c>
      <c r="G206" s="52">
        <v>3391</v>
      </c>
      <c r="H206" s="53">
        <v>200</v>
      </c>
    </row>
    <row r="207" spans="1:8" ht="15.75">
      <c r="A207" s="73">
        <v>2</v>
      </c>
      <c r="B207" s="49" t="s">
        <v>98</v>
      </c>
      <c r="C207" s="50">
        <v>1</v>
      </c>
      <c r="D207" s="51">
        <v>1063</v>
      </c>
      <c r="E207" s="52">
        <v>165.496</v>
      </c>
      <c r="F207" s="52">
        <v>1240.695</v>
      </c>
      <c r="G207" s="52">
        <v>8271</v>
      </c>
      <c r="H207" s="53">
        <v>25</v>
      </c>
    </row>
    <row r="208" spans="1:8" ht="15.75">
      <c r="A208" s="21">
        <v>3</v>
      </c>
      <c r="B208" s="43" t="s">
        <v>101</v>
      </c>
      <c r="C208" s="54">
        <v>2</v>
      </c>
      <c r="D208" s="58">
        <v>2861.33</v>
      </c>
      <c r="E208" s="56">
        <v>0</v>
      </c>
      <c r="F208" s="56">
        <v>0</v>
      </c>
      <c r="G208" s="56">
        <v>4702</v>
      </c>
      <c r="H208" s="57">
        <v>0</v>
      </c>
    </row>
    <row r="209" spans="1:8" ht="15.75">
      <c r="A209" s="21">
        <v>4</v>
      </c>
      <c r="B209" s="43" t="s">
        <v>72</v>
      </c>
      <c r="C209" s="54">
        <v>6</v>
      </c>
      <c r="D209" s="58">
        <v>1935.44</v>
      </c>
      <c r="E209" s="56">
        <v>247.125</v>
      </c>
      <c r="F209" s="56">
        <v>432.46</v>
      </c>
      <c r="G209" s="56">
        <v>15005.491</v>
      </c>
      <c r="H209" s="57">
        <v>25</v>
      </c>
    </row>
    <row r="210" spans="1:8" ht="15.75">
      <c r="A210" s="21">
        <v>5</v>
      </c>
      <c r="B210" s="43" t="s">
        <v>79</v>
      </c>
      <c r="C210" s="54">
        <v>0</v>
      </c>
      <c r="D210" s="58">
        <v>0</v>
      </c>
      <c r="E210" s="56">
        <v>0</v>
      </c>
      <c r="F210" s="56">
        <v>0</v>
      </c>
      <c r="G210" s="56">
        <v>59.75</v>
      </c>
      <c r="H210" s="57">
        <v>0</v>
      </c>
    </row>
    <row r="211" spans="1:8" ht="15.75">
      <c r="A211" s="21"/>
      <c r="B211" s="74" t="s">
        <v>80</v>
      </c>
      <c r="C211" s="13">
        <f aca="true" t="shared" si="16" ref="C211:H211">SUM(C206:C210)</f>
        <v>40</v>
      </c>
      <c r="D211" s="13">
        <f t="shared" si="16"/>
        <v>6007.780000000001</v>
      </c>
      <c r="E211" s="13">
        <f t="shared" si="16"/>
        <v>559.838</v>
      </c>
      <c r="F211" s="13">
        <f t="shared" si="16"/>
        <v>2188.4159999999997</v>
      </c>
      <c r="G211" s="13">
        <f t="shared" si="16"/>
        <v>31429.241</v>
      </c>
      <c r="H211" s="13">
        <f t="shared" si="16"/>
        <v>250</v>
      </c>
    </row>
    <row r="212" spans="1:8" ht="15.75">
      <c r="A212" s="75"/>
      <c r="B212" s="89"/>
      <c r="C212" s="90"/>
      <c r="D212" s="91"/>
      <c r="E212" s="92"/>
      <c r="F212" s="92"/>
      <c r="G212" s="92"/>
      <c r="H212" s="93"/>
    </row>
    <row r="213" spans="1:8" ht="15.75">
      <c r="A213" s="30"/>
      <c r="B213" s="31"/>
      <c r="C213" s="32"/>
      <c r="D213" s="33" t="s">
        <v>127</v>
      </c>
      <c r="E213" s="34"/>
      <c r="F213" s="34"/>
      <c r="G213" s="34"/>
      <c r="H213" s="35"/>
    </row>
    <row r="214" spans="1:8" ht="31.5">
      <c r="A214" s="36" t="s">
        <v>61</v>
      </c>
      <c r="B214" s="37" t="s">
        <v>62</v>
      </c>
      <c r="C214" s="38" t="s">
        <v>5</v>
      </c>
      <c r="D214" s="39" t="s">
        <v>6</v>
      </c>
      <c r="E214" s="40" t="s">
        <v>7</v>
      </c>
      <c r="F214" s="41" t="s">
        <v>8</v>
      </c>
      <c r="G214" s="41" t="s">
        <v>9</v>
      </c>
      <c r="H214" s="42" t="s">
        <v>63</v>
      </c>
    </row>
    <row r="215" spans="1:8" ht="15.75">
      <c r="A215" s="21"/>
      <c r="B215" s="43"/>
      <c r="C215" s="44"/>
      <c r="D215" s="45" t="s">
        <v>11</v>
      </c>
      <c r="E215" s="46" t="s">
        <v>64</v>
      </c>
      <c r="F215" s="46" t="s">
        <v>65</v>
      </c>
      <c r="G215" s="46" t="s">
        <v>66</v>
      </c>
      <c r="H215" s="47" t="s">
        <v>15</v>
      </c>
    </row>
    <row r="216" spans="1:8" ht="15.75">
      <c r="A216" s="21">
        <v>1</v>
      </c>
      <c r="B216" s="49" t="s">
        <v>68</v>
      </c>
      <c r="C216" s="50">
        <v>5</v>
      </c>
      <c r="D216" s="51">
        <v>272.804</v>
      </c>
      <c r="E216" s="52">
        <v>0</v>
      </c>
      <c r="F216" s="52">
        <v>0</v>
      </c>
      <c r="G216" s="52">
        <v>0</v>
      </c>
      <c r="H216" s="53">
        <v>0</v>
      </c>
    </row>
    <row r="217" spans="1:8" s="20" customFormat="1" ht="15.75">
      <c r="A217" s="110">
        <v>2</v>
      </c>
      <c r="B217" s="43" t="s">
        <v>67</v>
      </c>
      <c r="C217" s="54">
        <v>2</v>
      </c>
      <c r="D217" s="58">
        <v>1342.04</v>
      </c>
      <c r="E217" s="56">
        <v>577.924</v>
      </c>
      <c r="F217" s="56">
        <v>1778.85</v>
      </c>
      <c r="G217" s="56">
        <v>365572.603</v>
      </c>
      <c r="H217" s="57">
        <v>1132</v>
      </c>
    </row>
    <row r="218" spans="1:8" s="20" customFormat="1" ht="15.75">
      <c r="A218" s="110">
        <v>3</v>
      </c>
      <c r="B218" s="43" t="s">
        <v>93</v>
      </c>
      <c r="C218" s="54">
        <v>0</v>
      </c>
      <c r="D218" s="58">
        <v>0</v>
      </c>
      <c r="E218" s="56">
        <v>79.5</v>
      </c>
      <c r="F218" s="56">
        <v>119.25</v>
      </c>
      <c r="G218" s="56">
        <v>4832</v>
      </c>
      <c r="H218" s="57">
        <v>0</v>
      </c>
    </row>
    <row r="219" spans="1:8" s="20" customFormat="1" ht="15.75">
      <c r="A219" s="110">
        <v>4</v>
      </c>
      <c r="B219" s="43" t="s">
        <v>70</v>
      </c>
      <c r="C219" s="54">
        <v>1</v>
      </c>
      <c r="D219" s="54">
        <v>5</v>
      </c>
      <c r="E219" s="54">
        <v>89.809</v>
      </c>
      <c r="F219" s="54">
        <v>160.07</v>
      </c>
      <c r="G219" s="54">
        <v>6193.7390000000005</v>
      </c>
      <c r="H219" s="54">
        <v>1365</v>
      </c>
    </row>
    <row r="220" spans="1:8" s="20" customFormat="1" ht="15.75">
      <c r="A220" s="110">
        <v>5</v>
      </c>
      <c r="B220" s="43" t="s">
        <v>106</v>
      </c>
      <c r="C220" s="54">
        <v>2</v>
      </c>
      <c r="D220" s="58">
        <v>25</v>
      </c>
      <c r="E220" s="56">
        <v>0</v>
      </c>
      <c r="F220" s="56">
        <v>0</v>
      </c>
      <c r="G220" s="56">
        <v>23.3</v>
      </c>
      <c r="H220" s="57">
        <v>0</v>
      </c>
    </row>
    <row r="221" spans="1:8" s="20" customFormat="1" ht="15.75">
      <c r="A221" s="110">
        <v>6</v>
      </c>
      <c r="B221" s="43" t="s">
        <v>75</v>
      </c>
      <c r="C221" s="54">
        <v>142</v>
      </c>
      <c r="D221" s="58">
        <v>675.356</v>
      </c>
      <c r="E221" s="56">
        <v>54.256</v>
      </c>
      <c r="F221" s="56">
        <v>99.735</v>
      </c>
      <c r="G221" s="56">
        <v>1666.4769999999999</v>
      </c>
      <c r="H221" s="57">
        <v>596</v>
      </c>
    </row>
    <row r="222" spans="1:8" s="20" customFormat="1" ht="15.75">
      <c r="A222" s="110">
        <v>7</v>
      </c>
      <c r="B222" s="43" t="s">
        <v>76</v>
      </c>
      <c r="C222" s="54">
        <v>23</v>
      </c>
      <c r="D222" s="58">
        <v>1862.08</v>
      </c>
      <c r="E222" s="56">
        <v>5.6</v>
      </c>
      <c r="F222" s="56">
        <v>59.5</v>
      </c>
      <c r="G222" s="56">
        <v>2882.781</v>
      </c>
      <c r="H222" s="57">
        <v>230</v>
      </c>
    </row>
    <row r="223" spans="1:8" s="20" customFormat="1" ht="15.75">
      <c r="A223" s="111">
        <v>8</v>
      </c>
      <c r="B223" s="60" t="s">
        <v>79</v>
      </c>
      <c r="C223" s="61">
        <v>0</v>
      </c>
      <c r="D223" s="62">
        <v>0</v>
      </c>
      <c r="E223" s="63">
        <v>0</v>
      </c>
      <c r="F223" s="63">
        <v>0</v>
      </c>
      <c r="G223" s="63">
        <v>1683.83</v>
      </c>
      <c r="H223" s="64"/>
    </row>
    <row r="224" spans="1:8" ht="15.75">
      <c r="A224" s="59"/>
      <c r="B224" s="65" t="s">
        <v>80</v>
      </c>
      <c r="C224" s="66">
        <f aca="true" t="shared" si="17" ref="C224:H224">SUM(C216:C223)</f>
        <v>175</v>
      </c>
      <c r="D224" s="66">
        <f t="shared" si="17"/>
        <v>4182.28</v>
      </c>
      <c r="E224" s="66">
        <f t="shared" si="17"/>
        <v>807.0889999999999</v>
      </c>
      <c r="F224" s="66">
        <f t="shared" si="17"/>
        <v>2217.405</v>
      </c>
      <c r="G224" s="66">
        <f t="shared" si="17"/>
        <v>382854.73000000004</v>
      </c>
      <c r="H224" s="66">
        <f t="shared" si="17"/>
        <v>3323</v>
      </c>
    </row>
    <row r="225" spans="1:8" ht="15.75">
      <c r="A225" s="67"/>
      <c r="B225" s="68"/>
      <c r="C225" s="69"/>
      <c r="D225" s="70"/>
      <c r="E225" s="71"/>
      <c r="F225" s="71"/>
      <c r="G225" s="71"/>
      <c r="H225" s="72"/>
    </row>
    <row r="226" spans="1:8" ht="15.75">
      <c r="A226" s="30"/>
      <c r="B226" s="31"/>
      <c r="C226" s="32"/>
      <c r="D226" s="33" t="s">
        <v>128</v>
      </c>
      <c r="E226" s="34"/>
      <c r="F226" s="34"/>
      <c r="G226" s="34"/>
      <c r="H226" s="35"/>
    </row>
    <row r="227" spans="1:8" ht="31.5">
      <c r="A227" s="36" t="s">
        <v>61</v>
      </c>
      <c r="B227" s="37" t="s">
        <v>62</v>
      </c>
      <c r="C227" s="38" t="s">
        <v>5</v>
      </c>
      <c r="D227" s="39" t="s">
        <v>6</v>
      </c>
      <c r="E227" s="40" t="s">
        <v>7</v>
      </c>
      <c r="F227" s="41" t="s">
        <v>8</v>
      </c>
      <c r="G227" s="41" t="s">
        <v>9</v>
      </c>
      <c r="H227" s="42" t="s">
        <v>63</v>
      </c>
    </row>
    <row r="228" spans="1:8" ht="15.75">
      <c r="A228" s="21"/>
      <c r="B228" s="43"/>
      <c r="C228" s="44"/>
      <c r="D228" s="45" t="s">
        <v>11</v>
      </c>
      <c r="E228" s="46" t="s">
        <v>64</v>
      </c>
      <c r="F228" s="46" t="s">
        <v>65</v>
      </c>
      <c r="G228" s="46" t="s">
        <v>66</v>
      </c>
      <c r="H228" s="47" t="s">
        <v>15</v>
      </c>
    </row>
    <row r="229" spans="1:8" s="20" customFormat="1" ht="15.75">
      <c r="A229" s="109">
        <v>1</v>
      </c>
      <c r="B229" s="43" t="s">
        <v>84</v>
      </c>
      <c r="C229" s="54">
        <v>3</v>
      </c>
      <c r="D229" s="58">
        <v>11</v>
      </c>
      <c r="E229" s="56">
        <v>0</v>
      </c>
      <c r="F229" s="56">
        <v>0</v>
      </c>
      <c r="G229" s="56">
        <v>177.07300000000032</v>
      </c>
      <c r="H229" s="57">
        <v>75</v>
      </c>
    </row>
    <row r="230" spans="1:8" s="20" customFormat="1" ht="15.75">
      <c r="A230" s="110">
        <v>2</v>
      </c>
      <c r="B230" s="43" t="s">
        <v>85</v>
      </c>
      <c r="C230" s="54">
        <v>1</v>
      </c>
      <c r="D230" s="58">
        <v>47.51</v>
      </c>
      <c r="E230" s="56">
        <v>0</v>
      </c>
      <c r="F230" s="56">
        <v>0</v>
      </c>
      <c r="G230" s="56">
        <v>0</v>
      </c>
      <c r="H230" s="57">
        <v>0</v>
      </c>
    </row>
    <row r="231" spans="1:8" s="20" customFormat="1" ht="15.75">
      <c r="A231" s="110">
        <v>3</v>
      </c>
      <c r="B231" s="43" t="s">
        <v>83</v>
      </c>
      <c r="C231" s="54">
        <v>5</v>
      </c>
      <c r="D231" s="58">
        <v>132.9</v>
      </c>
      <c r="E231" s="56">
        <v>10.918</v>
      </c>
      <c r="F231" s="56">
        <v>43.672</v>
      </c>
      <c r="G231" s="56">
        <v>52.544000000000004</v>
      </c>
      <c r="H231" s="57">
        <v>30</v>
      </c>
    </row>
    <row r="232" spans="1:8" s="20" customFormat="1" ht="15.75">
      <c r="A232" s="110">
        <v>4</v>
      </c>
      <c r="B232" s="43" t="s">
        <v>82</v>
      </c>
      <c r="C232" s="54">
        <v>1</v>
      </c>
      <c r="D232" s="58">
        <v>32.54</v>
      </c>
      <c r="E232" s="56">
        <v>0</v>
      </c>
      <c r="F232" s="56">
        <v>0</v>
      </c>
      <c r="G232" s="56">
        <v>0</v>
      </c>
      <c r="H232" s="57">
        <v>0</v>
      </c>
    </row>
    <row r="233" spans="1:8" s="20" customFormat="1" ht="15.75">
      <c r="A233" s="110">
        <v>5</v>
      </c>
      <c r="B233" s="43" t="s">
        <v>93</v>
      </c>
      <c r="C233" s="54">
        <v>3</v>
      </c>
      <c r="D233" s="58">
        <v>296.09</v>
      </c>
      <c r="E233" s="56">
        <v>0.569</v>
      </c>
      <c r="F233" s="56">
        <v>0.569</v>
      </c>
      <c r="G233" s="56">
        <v>89.113</v>
      </c>
      <c r="H233" s="57">
        <v>20</v>
      </c>
    </row>
    <row r="234" spans="1:8" s="20" customFormat="1" ht="15.75">
      <c r="A234" s="110">
        <v>6</v>
      </c>
      <c r="B234" s="43" t="s">
        <v>70</v>
      </c>
      <c r="C234" s="54">
        <v>26</v>
      </c>
      <c r="D234" s="58">
        <v>466</v>
      </c>
      <c r="E234" s="56">
        <v>50.08</v>
      </c>
      <c r="F234" s="56">
        <v>75.12</v>
      </c>
      <c r="G234" s="56">
        <v>2527.782</v>
      </c>
      <c r="H234" s="57">
        <v>160</v>
      </c>
    </row>
    <row r="235" spans="1:8" s="20" customFormat="1" ht="15.75">
      <c r="A235" s="110">
        <v>7</v>
      </c>
      <c r="B235" s="43" t="s">
        <v>72</v>
      </c>
      <c r="C235" s="54">
        <v>4</v>
      </c>
      <c r="D235" s="58">
        <v>1855.17</v>
      </c>
      <c r="E235" s="56">
        <v>0</v>
      </c>
      <c r="F235" s="56">
        <v>0</v>
      </c>
      <c r="G235" s="56">
        <v>777.539</v>
      </c>
      <c r="H235" s="57">
        <v>0</v>
      </c>
    </row>
    <row r="236" spans="1:8" s="20" customFormat="1" ht="15.75">
      <c r="A236" s="110">
        <v>9</v>
      </c>
      <c r="B236" s="43" t="s">
        <v>89</v>
      </c>
      <c r="C236" s="54">
        <v>1</v>
      </c>
      <c r="D236" s="58">
        <v>5</v>
      </c>
      <c r="E236" s="56">
        <v>0.02</v>
      </c>
      <c r="F236" s="56">
        <v>0.02</v>
      </c>
      <c r="G236" s="56">
        <v>10.6</v>
      </c>
      <c r="H236" s="57">
        <v>5</v>
      </c>
    </row>
    <row r="237" spans="1:8" s="20" customFormat="1" ht="15.75">
      <c r="A237" s="110">
        <v>10</v>
      </c>
      <c r="B237" s="43" t="s">
        <v>75</v>
      </c>
      <c r="C237" s="54">
        <v>16</v>
      </c>
      <c r="D237" s="58">
        <v>239</v>
      </c>
      <c r="E237" s="56">
        <v>98.498</v>
      </c>
      <c r="F237" s="56">
        <v>147.747</v>
      </c>
      <c r="G237" s="56">
        <v>1787.362</v>
      </c>
      <c r="H237" s="57">
        <v>200</v>
      </c>
    </row>
    <row r="238" spans="1:8" s="20" customFormat="1" ht="15.75">
      <c r="A238" s="110">
        <v>11</v>
      </c>
      <c r="B238" s="43" t="s">
        <v>87</v>
      </c>
      <c r="C238" s="54">
        <v>18</v>
      </c>
      <c r="D238" s="58">
        <v>281.59</v>
      </c>
      <c r="E238" s="56">
        <v>28.625</v>
      </c>
      <c r="F238" s="56">
        <v>42.937</v>
      </c>
      <c r="G238" s="56">
        <v>1714.021</v>
      </c>
      <c r="H238" s="57">
        <v>150</v>
      </c>
    </row>
    <row r="239" spans="1:8" s="20" customFormat="1" ht="15.75">
      <c r="A239" s="110">
        <v>12</v>
      </c>
      <c r="B239" s="43" t="s">
        <v>76</v>
      </c>
      <c r="C239" s="54">
        <v>1</v>
      </c>
      <c r="D239" s="58">
        <v>5</v>
      </c>
      <c r="E239" s="56">
        <v>0</v>
      </c>
      <c r="F239" s="56">
        <v>0</v>
      </c>
      <c r="G239" s="56">
        <v>0</v>
      </c>
      <c r="H239" s="57">
        <v>0</v>
      </c>
    </row>
    <row r="240" spans="1:8" ht="15.75">
      <c r="A240" s="21"/>
      <c r="B240" s="65" t="s">
        <v>80</v>
      </c>
      <c r="C240" s="66">
        <f aca="true" t="shared" si="18" ref="C240:H240">SUM(C229:C239)</f>
        <v>79</v>
      </c>
      <c r="D240" s="66">
        <f t="shared" si="18"/>
        <v>3371.8</v>
      </c>
      <c r="E240" s="66">
        <f t="shared" si="18"/>
        <v>188.71</v>
      </c>
      <c r="F240" s="66">
        <f t="shared" si="18"/>
        <v>310.06500000000005</v>
      </c>
      <c r="G240" s="66">
        <f t="shared" si="18"/>
        <v>7136.034000000001</v>
      </c>
      <c r="H240" s="66">
        <f t="shared" si="18"/>
        <v>640</v>
      </c>
    </row>
    <row r="241" spans="1:8" ht="15.75">
      <c r="A241" s="75"/>
      <c r="B241" s="104"/>
      <c r="C241" s="105"/>
      <c r="D241" s="106"/>
      <c r="E241" s="107"/>
      <c r="F241" s="107"/>
      <c r="G241" s="107"/>
      <c r="H241" s="108"/>
    </row>
    <row r="242" spans="1:8" ht="15.75">
      <c r="A242" s="30"/>
      <c r="B242" s="31"/>
      <c r="C242" s="32"/>
      <c r="D242" s="33" t="s">
        <v>129</v>
      </c>
      <c r="E242" s="34"/>
      <c r="F242" s="34"/>
      <c r="G242" s="34"/>
      <c r="H242" s="35"/>
    </row>
    <row r="243" spans="1:8" ht="31.5">
      <c r="A243" s="36" t="s">
        <v>61</v>
      </c>
      <c r="B243" s="37" t="s">
        <v>62</v>
      </c>
      <c r="C243" s="38" t="s">
        <v>5</v>
      </c>
      <c r="D243" s="39" t="s">
        <v>6</v>
      </c>
      <c r="E243" s="40" t="s">
        <v>7</v>
      </c>
      <c r="F243" s="41" t="s">
        <v>8</v>
      </c>
      <c r="G243" s="41" t="s">
        <v>9</v>
      </c>
      <c r="H243" s="42" t="s">
        <v>63</v>
      </c>
    </row>
    <row r="244" spans="1:8" ht="15.75">
      <c r="A244" s="21"/>
      <c r="B244" s="43"/>
      <c r="C244" s="44"/>
      <c r="D244" s="45" t="s">
        <v>11</v>
      </c>
      <c r="E244" s="46" t="s">
        <v>64</v>
      </c>
      <c r="F244" s="46" t="s">
        <v>65</v>
      </c>
      <c r="G244" s="46" t="s">
        <v>66</v>
      </c>
      <c r="H244" s="47" t="s">
        <v>15</v>
      </c>
    </row>
    <row r="245" spans="1:8" ht="15.75">
      <c r="A245" s="73">
        <v>1</v>
      </c>
      <c r="B245" s="49" t="s">
        <v>83</v>
      </c>
      <c r="C245" s="50">
        <v>2</v>
      </c>
      <c r="D245" s="51">
        <v>157.8</v>
      </c>
      <c r="E245" s="52">
        <v>57.7</v>
      </c>
      <c r="F245" s="52">
        <v>202.12</v>
      </c>
      <c r="G245" s="52">
        <v>6820</v>
      </c>
      <c r="H245" s="53">
        <v>420</v>
      </c>
    </row>
    <row r="246" spans="1:8" ht="15.75">
      <c r="A246" s="21">
        <v>2</v>
      </c>
      <c r="B246" s="43" t="s">
        <v>112</v>
      </c>
      <c r="C246" s="54">
        <v>0</v>
      </c>
      <c r="D246" s="58">
        <v>0</v>
      </c>
      <c r="E246" s="56">
        <v>0</v>
      </c>
      <c r="F246" s="56">
        <v>0</v>
      </c>
      <c r="G246" s="56">
        <v>0</v>
      </c>
      <c r="H246" s="57">
        <v>0</v>
      </c>
    </row>
    <row r="247" spans="1:8" ht="15.75">
      <c r="A247" s="21">
        <v>3</v>
      </c>
      <c r="B247" s="43" t="s">
        <v>72</v>
      </c>
      <c r="C247" s="54">
        <v>3</v>
      </c>
      <c r="D247" s="58">
        <v>1115.3</v>
      </c>
      <c r="E247" s="56">
        <v>6731.93</v>
      </c>
      <c r="F247" s="56">
        <v>6395.33</v>
      </c>
      <c r="G247" s="56">
        <v>305115</v>
      </c>
      <c r="H247" s="57">
        <v>200</v>
      </c>
    </row>
    <row r="248" spans="1:8" ht="15.75">
      <c r="A248" s="21">
        <v>4</v>
      </c>
      <c r="B248" s="43" t="s">
        <v>75</v>
      </c>
      <c r="C248" s="54">
        <v>1</v>
      </c>
      <c r="D248" s="58">
        <v>5</v>
      </c>
      <c r="E248" s="56">
        <v>3.45</v>
      </c>
      <c r="F248" s="56">
        <v>3.45</v>
      </c>
      <c r="G248" s="56">
        <v>69</v>
      </c>
      <c r="H248" s="57">
        <v>4</v>
      </c>
    </row>
    <row r="249" spans="1:8" ht="15.75">
      <c r="A249" s="21">
        <v>5</v>
      </c>
      <c r="B249" s="43" t="s">
        <v>78</v>
      </c>
      <c r="C249" s="54">
        <v>1</v>
      </c>
      <c r="D249" s="58">
        <v>49.48</v>
      </c>
      <c r="E249" s="56">
        <v>130.39</v>
      </c>
      <c r="F249" s="56">
        <v>1173.51</v>
      </c>
      <c r="G249" s="56">
        <v>10000</v>
      </c>
      <c r="H249" s="57">
        <v>200</v>
      </c>
    </row>
    <row r="250" spans="1:8" ht="15.75">
      <c r="A250" s="21"/>
      <c r="B250" s="65" t="s">
        <v>80</v>
      </c>
      <c r="C250" s="66">
        <f aca="true" t="shared" si="19" ref="C250:H250">SUM(C245:C249)</f>
        <v>7</v>
      </c>
      <c r="D250" s="66">
        <f t="shared" si="19"/>
        <v>1327.58</v>
      </c>
      <c r="E250" s="95">
        <f t="shared" si="19"/>
        <v>6923.47</v>
      </c>
      <c r="F250" s="95">
        <f t="shared" si="19"/>
        <v>7774.41</v>
      </c>
      <c r="G250" s="95">
        <f t="shared" si="19"/>
        <v>322004</v>
      </c>
      <c r="H250" s="66">
        <f t="shared" si="19"/>
        <v>824</v>
      </c>
    </row>
    <row r="251" spans="1:8" ht="15.75">
      <c r="A251" s="75"/>
      <c r="B251" s="104"/>
      <c r="C251" s="105"/>
      <c r="D251" s="106"/>
      <c r="E251" s="107"/>
      <c r="F251" s="107"/>
      <c r="G251" s="107"/>
      <c r="H251" s="108"/>
    </row>
    <row r="252" spans="1:8" ht="15.75">
      <c r="A252" s="30"/>
      <c r="B252" s="31"/>
      <c r="C252" s="32"/>
      <c r="D252" s="33" t="s">
        <v>130</v>
      </c>
      <c r="E252" s="34"/>
      <c r="F252" s="34"/>
      <c r="G252" s="34"/>
      <c r="H252" s="35"/>
    </row>
    <row r="253" spans="1:8" ht="31.5">
      <c r="A253" s="36" t="s">
        <v>61</v>
      </c>
      <c r="B253" s="37" t="s">
        <v>62</v>
      </c>
      <c r="C253" s="38" t="s">
        <v>5</v>
      </c>
      <c r="D253" s="39" t="s">
        <v>6</v>
      </c>
      <c r="E253" s="40" t="s">
        <v>7</v>
      </c>
      <c r="F253" s="41" t="s">
        <v>8</v>
      </c>
      <c r="G253" s="41" t="s">
        <v>9</v>
      </c>
      <c r="H253" s="42" t="s">
        <v>63</v>
      </c>
    </row>
    <row r="254" spans="1:8" ht="15.75">
      <c r="A254" s="21"/>
      <c r="B254" s="43"/>
      <c r="C254" s="44"/>
      <c r="D254" s="45" t="s">
        <v>11</v>
      </c>
      <c r="E254" s="46" t="s">
        <v>64</v>
      </c>
      <c r="F254" s="46" t="s">
        <v>65</v>
      </c>
      <c r="G254" s="46" t="s">
        <v>66</v>
      </c>
      <c r="H254" s="47" t="s">
        <v>15</v>
      </c>
    </row>
    <row r="255" spans="1:8" ht="15.75">
      <c r="A255" s="73">
        <v>1</v>
      </c>
      <c r="B255" s="49" t="s">
        <v>68</v>
      </c>
      <c r="C255" s="50">
        <v>6</v>
      </c>
      <c r="D255" s="51">
        <v>234.13</v>
      </c>
      <c r="E255" s="52">
        <v>0</v>
      </c>
      <c r="F255" s="52">
        <v>0</v>
      </c>
      <c r="G255" s="52">
        <v>0</v>
      </c>
      <c r="H255" s="53">
        <v>0</v>
      </c>
    </row>
    <row r="256" spans="1:8" ht="15.75">
      <c r="A256" s="21">
        <v>2</v>
      </c>
      <c r="B256" s="43" t="s">
        <v>82</v>
      </c>
      <c r="C256" s="54">
        <v>10</v>
      </c>
      <c r="D256" s="58">
        <v>640.75</v>
      </c>
      <c r="E256" s="56">
        <v>83.763</v>
      </c>
      <c r="F256" s="56">
        <v>251.289</v>
      </c>
      <c r="G256" s="56">
        <v>1940.565</v>
      </c>
      <c r="H256" s="57">
        <v>100</v>
      </c>
    </row>
    <row r="257" spans="1:8" ht="15.75">
      <c r="A257" s="73">
        <v>3</v>
      </c>
      <c r="B257" s="43" t="s">
        <v>70</v>
      </c>
      <c r="C257" s="54">
        <v>0</v>
      </c>
      <c r="D257" s="58">
        <v>0</v>
      </c>
      <c r="E257" s="56">
        <v>30.574</v>
      </c>
      <c r="F257" s="56">
        <v>36.688</v>
      </c>
      <c r="G257" s="56">
        <v>0</v>
      </c>
      <c r="H257" s="57">
        <v>0</v>
      </c>
    </row>
    <row r="258" spans="1:8" ht="15.75">
      <c r="A258" s="21">
        <v>4</v>
      </c>
      <c r="B258" s="43" t="s">
        <v>101</v>
      </c>
      <c r="C258" s="54">
        <v>1</v>
      </c>
      <c r="D258" s="58">
        <v>161.55</v>
      </c>
      <c r="E258" s="56">
        <v>0</v>
      </c>
      <c r="F258" s="56">
        <v>0</v>
      </c>
      <c r="G258" s="56">
        <v>0</v>
      </c>
      <c r="H258" s="57">
        <v>0</v>
      </c>
    </row>
    <row r="259" spans="1:8" ht="15.75">
      <c r="A259" s="73">
        <v>5</v>
      </c>
      <c r="B259" s="43" t="s">
        <v>72</v>
      </c>
      <c r="C259" s="54">
        <v>3</v>
      </c>
      <c r="D259" s="58">
        <v>1736.53</v>
      </c>
      <c r="E259" s="56">
        <v>5985.41</v>
      </c>
      <c r="F259" s="56">
        <v>5386.861</v>
      </c>
      <c r="G259" s="56">
        <v>282460.006</v>
      </c>
      <c r="H259" s="57">
        <v>1500</v>
      </c>
    </row>
    <row r="260" spans="1:8" ht="15.75">
      <c r="A260" s="21">
        <v>6</v>
      </c>
      <c r="B260" s="43" t="s">
        <v>73</v>
      </c>
      <c r="C260" s="54">
        <v>3</v>
      </c>
      <c r="D260" s="58">
        <v>110</v>
      </c>
      <c r="E260" s="56">
        <v>0</v>
      </c>
      <c r="F260" s="56">
        <v>0</v>
      </c>
      <c r="G260" s="56">
        <v>2.05</v>
      </c>
      <c r="H260" s="57">
        <v>2</v>
      </c>
    </row>
    <row r="261" spans="1:8" ht="15.75">
      <c r="A261" s="73">
        <v>7</v>
      </c>
      <c r="B261" s="43" t="s">
        <v>75</v>
      </c>
      <c r="C261" s="54">
        <v>12</v>
      </c>
      <c r="D261" s="58">
        <v>299.349</v>
      </c>
      <c r="E261" s="56">
        <v>20.382</v>
      </c>
      <c r="F261" s="56">
        <v>16.306</v>
      </c>
      <c r="G261" s="56">
        <v>1391.523</v>
      </c>
      <c r="H261" s="57">
        <v>178</v>
      </c>
    </row>
    <row r="262" spans="1:8" ht="15.75">
      <c r="A262" s="21">
        <v>8</v>
      </c>
      <c r="B262" s="43" t="s">
        <v>78</v>
      </c>
      <c r="C262" s="54">
        <v>1</v>
      </c>
      <c r="D262" s="58">
        <v>4</v>
      </c>
      <c r="E262" s="56">
        <v>0.41</v>
      </c>
      <c r="F262" s="56">
        <v>3.28</v>
      </c>
      <c r="G262" s="56">
        <v>20.4</v>
      </c>
      <c r="H262" s="57">
        <v>12</v>
      </c>
    </row>
    <row r="263" spans="1:8" ht="15.75">
      <c r="A263" s="21"/>
      <c r="B263" s="43" t="s">
        <v>79</v>
      </c>
      <c r="C263" s="54">
        <v>0</v>
      </c>
      <c r="D263" s="58">
        <v>0</v>
      </c>
      <c r="E263" s="56">
        <v>0</v>
      </c>
      <c r="F263" s="56">
        <v>0</v>
      </c>
      <c r="G263" s="56">
        <v>9.625</v>
      </c>
      <c r="H263" s="57">
        <v>0</v>
      </c>
    </row>
    <row r="264" spans="1:8" ht="15.75">
      <c r="A264" s="21"/>
      <c r="B264" s="74" t="s">
        <v>80</v>
      </c>
      <c r="C264" s="13">
        <f aca="true" t="shared" si="20" ref="C264:H264">SUM(C255:C263)</f>
        <v>36</v>
      </c>
      <c r="D264" s="13">
        <f t="shared" si="20"/>
        <v>3186.309</v>
      </c>
      <c r="E264" s="13">
        <f t="shared" si="20"/>
        <v>6120.539</v>
      </c>
      <c r="F264" s="13">
        <f t="shared" si="20"/>
        <v>5694.423999999999</v>
      </c>
      <c r="G264" s="13">
        <f t="shared" si="20"/>
        <v>285824.169</v>
      </c>
      <c r="H264" s="13">
        <f t="shared" si="20"/>
        <v>1792</v>
      </c>
    </row>
    <row r="265" spans="1:8" ht="15.75">
      <c r="A265" s="75"/>
      <c r="B265" s="76"/>
      <c r="C265" s="77"/>
      <c r="D265" s="81"/>
      <c r="E265" s="78"/>
      <c r="F265" s="78"/>
      <c r="G265" s="78"/>
      <c r="H265" s="79"/>
    </row>
    <row r="266" spans="1:8" ht="15.75">
      <c r="A266" s="30"/>
      <c r="B266" s="31"/>
      <c r="C266" s="32"/>
      <c r="D266" s="33" t="s">
        <v>131</v>
      </c>
      <c r="E266" s="34"/>
      <c r="F266" s="34"/>
      <c r="G266" s="34"/>
      <c r="H266" s="35"/>
    </row>
    <row r="267" spans="1:8" ht="31.5">
      <c r="A267" s="36" t="s">
        <v>61</v>
      </c>
      <c r="B267" s="37" t="s">
        <v>62</v>
      </c>
      <c r="C267" s="38" t="s">
        <v>5</v>
      </c>
      <c r="D267" s="39" t="s">
        <v>6</v>
      </c>
      <c r="E267" s="40" t="s">
        <v>7</v>
      </c>
      <c r="F267" s="41" t="s">
        <v>8</v>
      </c>
      <c r="G267" s="41" t="s">
        <v>9</v>
      </c>
      <c r="H267" s="42" t="s">
        <v>63</v>
      </c>
    </row>
    <row r="268" spans="1:8" ht="15.75">
      <c r="A268" s="21"/>
      <c r="B268" s="43"/>
      <c r="C268" s="44"/>
      <c r="D268" s="45" t="s">
        <v>11</v>
      </c>
      <c r="E268" s="46" t="s">
        <v>64</v>
      </c>
      <c r="F268" s="46" t="s">
        <v>65</v>
      </c>
      <c r="G268" s="46" t="s">
        <v>66</v>
      </c>
      <c r="H268" s="47" t="s">
        <v>15</v>
      </c>
    </row>
    <row r="269" spans="1:8" ht="15.75">
      <c r="A269" s="73">
        <v>1</v>
      </c>
      <c r="B269" s="49" t="s">
        <v>101</v>
      </c>
      <c r="C269" s="50">
        <v>9</v>
      </c>
      <c r="D269" s="55">
        <v>6969.135</v>
      </c>
      <c r="E269" s="52">
        <v>58.769</v>
      </c>
      <c r="F269" s="52">
        <v>127.53</v>
      </c>
      <c r="G269" s="52">
        <v>1693.134</v>
      </c>
      <c r="H269" s="53">
        <v>90</v>
      </c>
    </row>
    <row r="270" spans="1:9" ht="15.75">
      <c r="A270" s="21"/>
      <c r="B270" s="74" t="s">
        <v>80</v>
      </c>
      <c r="C270" s="13">
        <v>9</v>
      </c>
      <c r="D270" s="14">
        <v>6969.135</v>
      </c>
      <c r="E270" s="15">
        <v>58.769</v>
      </c>
      <c r="F270" s="15">
        <v>127.53</v>
      </c>
      <c r="G270" s="15">
        <v>1693.134</v>
      </c>
      <c r="H270" s="119">
        <v>90</v>
      </c>
      <c r="I270" s="120"/>
    </row>
    <row r="271" spans="1:8" ht="15.75">
      <c r="A271" s="75"/>
      <c r="B271" s="76"/>
      <c r="C271" s="77"/>
      <c r="D271" s="81"/>
      <c r="E271" s="78"/>
      <c r="F271" s="78"/>
      <c r="G271" s="78"/>
      <c r="H271" s="79"/>
    </row>
    <row r="272" spans="1:8" ht="15.75">
      <c r="A272" s="30"/>
      <c r="B272" s="31"/>
      <c r="C272" s="32"/>
      <c r="D272" s="33" t="s">
        <v>132</v>
      </c>
      <c r="E272" s="34"/>
      <c r="F272" s="34"/>
      <c r="G272" s="34"/>
      <c r="H272" s="35"/>
    </row>
    <row r="273" spans="1:8" ht="31.5">
      <c r="A273" s="36" t="s">
        <v>61</v>
      </c>
      <c r="B273" s="37" t="s">
        <v>62</v>
      </c>
      <c r="C273" s="38" t="s">
        <v>5</v>
      </c>
      <c r="D273" s="39" t="s">
        <v>6</v>
      </c>
      <c r="E273" s="40" t="s">
        <v>7</v>
      </c>
      <c r="F273" s="41" t="s">
        <v>8</v>
      </c>
      <c r="G273" s="41" t="s">
        <v>9</v>
      </c>
      <c r="H273" s="42" t="s">
        <v>63</v>
      </c>
    </row>
    <row r="274" spans="1:8" ht="15.75">
      <c r="A274" s="21"/>
      <c r="B274" s="43"/>
      <c r="C274" s="44"/>
      <c r="D274" s="45" t="s">
        <v>11</v>
      </c>
      <c r="E274" s="46" t="s">
        <v>64</v>
      </c>
      <c r="F274" s="46" t="s">
        <v>65</v>
      </c>
      <c r="G274" s="46" t="s">
        <v>66</v>
      </c>
      <c r="H274" s="47" t="s">
        <v>15</v>
      </c>
    </row>
    <row r="275" spans="1:8" ht="15.75">
      <c r="A275" s="73">
        <v>1</v>
      </c>
      <c r="B275" s="49" t="s">
        <v>101</v>
      </c>
      <c r="C275" s="50">
        <v>9</v>
      </c>
      <c r="D275" s="55">
        <v>1194.505</v>
      </c>
      <c r="E275" s="52">
        <v>637.105</v>
      </c>
      <c r="F275" s="52">
        <v>1382.57</v>
      </c>
      <c r="G275" s="52">
        <v>27981.211</v>
      </c>
      <c r="H275" s="53">
        <v>90</v>
      </c>
    </row>
    <row r="276" spans="1:8" ht="15.75">
      <c r="A276" s="21"/>
      <c r="B276" s="65" t="s">
        <v>80</v>
      </c>
      <c r="C276" s="66">
        <v>9</v>
      </c>
      <c r="D276" s="121">
        <v>1194.505</v>
      </c>
      <c r="E276" s="95">
        <v>637.105</v>
      </c>
      <c r="F276" s="95">
        <v>1382.57</v>
      </c>
      <c r="G276" s="95">
        <v>27981.211</v>
      </c>
      <c r="H276" s="122">
        <v>90</v>
      </c>
    </row>
    <row r="277" spans="1:8" ht="15.75">
      <c r="A277" s="75"/>
      <c r="B277" s="104"/>
      <c r="C277" s="105"/>
      <c r="D277" s="106"/>
      <c r="E277" s="107"/>
      <c r="F277" s="107"/>
      <c r="G277" s="107"/>
      <c r="H277" s="108"/>
    </row>
    <row r="278" spans="1:8" ht="15.75">
      <c r="A278" s="30"/>
      <c r="B278" s="31"/>
      <c r="C278" s="32"/>
      <c r="D278" s="33" t="s">
        <v>133</v>
      </c>
      <c r="E278" s="34"/>
      <c r="F278" s="34"/>
      <c r="G278" s="34"/>
      <c r="H278" s="35"/>
    </row>
    <row r="279" spans="1:8" ht="31.5">
      <c r="A279" s="36" t="s">
        <v>61</v>
      </c>
      <c r="B279" s="37" t="s">
        <v>62</v>
      </c>
      <c r="C279" s="38" t="s">
        <v>5</v>
      </c>
      <c r="D279" s="39" t="s">
        <v>6</v>
      </c>
      <c r="E279" s="40" t="s">
        <v>7</v>
      </c>
      <c r="F279" s="41" t="s">
        <v>8</v>
      </c>
      <c r="G279" s="41" t="s">
        <v>9</v>
      </c>
      <c r="H279" s="42" t="s">
        <v>63</v>
      </c>
    </row>
    <row r="280" spans="1:8" ht="15.75">
      <c r="A280" s="21"/>
      <c r="B280" s="43"/>
      <c r="C280" s="44"/>
      <c r="D280" s="45" t="s">
        <v>11</v>
      </c>
      <c r="E280" s="46" t="s">
        <v>64</v>
      </c>
      <c r="F280" s="46" t="s">
        <v>65</v>
      </c>
      <c r="G280" s="46" t="s">
        <v>66</v>
      </c>
      <c r="H280" s="47" t="s">
        <v>15</v>
      </c>
    </row>
    <row r="281" spans="1:8" ht="15.75">
      <c r="A281" s="73">
        <v>1</v>
      </c>
      <c r="B281" s="43" t="s">
        <v>75</v>
      </c>
      <c r="C281" s="50">
        <v>2</v>
      </c>
      <c r="D281" s="51">
        <v>523</v>
      </c>
      <c r="E281" s="52">
        <v>10.46</v>
      </c>
      <c r="F281" s="52">
        <v>20.92</v>
      </c>
      <c r="G281" s="52">
        <v>209.2</v>
      </c>
      <c r="H281" s="53">
        <v>30</v>
      </c>
    </row>
    <row r="282" spans="1:8" ht="15.75">
      <c r="A282" s="236" t="s">
        <v>80</v>
      </c>
      <c r="B282" s="237"/>
      <c r="C282" s="66">
        <v>2</v>
      </c>
      <c r="D282" s="121">
        <v>523</v>
      </c>
      <c r="E282" s="95">
        <v>10.46</v>
      </c>
      <c r="F282" s="95">
        <v>20.92</v>
      </c>
      <c r="G282" s="95">
        <v>209.2</v>
      </c>
      <c r="H282" s="66">
        <v>30</v>
      </c>
    </row>
    <row r="283" spans="1:8" ht="15.75">
      <c r="A283" s="123"/>
      <c r="B283" s="123"/>
      <c r="C283" s="105"/>
      <c r="D283" s="105"/>
      <c r="E283" s="105"/>
      <c r="F283" s="105"/>
      <c r="G283" s="105"/>
      <c r="H283" s="105"/>
    </row>
    <row r="284" spans="1:8" ht="15.75">
      <c r="A284" s="30"/>
      <c r="B284" s="31"/>
      <c r="C284" s="32"/>
      <c r="D284" s="33" t="s">
        <v>134</v>
      </c>
      <c r="E284" s="34"/>
      <c r="F284" s="34"/>
      <c r="G284" s="34"/>
      <c r="H284" s="35"/>
    </row>
    <row r="285" spans="1:8" ht="31.5">
      <c r="A285" s="112" t="s">
        <v>61</v>
      </c>
      <c r="B285" s="113" t="s">
        <v>62</v>
      </c>
      <c r="C285" s="114" t="s">
        <v>5</v>
      </c>
      <c r="D285" s="115" t="s">
        <v>6</v>
      </c>
      <c r="E285" s="116" t="s">
        <v>7</v>
      </c>
      <c r="F285" s="117" t="s">
        <v>8</v>
      </c>
      <c r="G285" s="117" t="s">
        <v>9</v>
      </c>
      <c r="H285" s="118" t="s">
        <v>63</v>
      </c>
    </row>
    <row r="286" spans="1:8" ht="15.75">
      <c r="A286" s="21"/>
      <c r="B286" s="43"/>
      <c r="C286" s="44"/>
      <c r="D286" s="45" t="s">
        <v>11</v>
      </c>
      <c r="E286" s="46" t="s">
        <v>64</v>
      </c>
      <c r="F286" s="46" t="s">
        <v>65</v>
      </c>
      <c r="G286" s="46" t="s">
        <v>66</v>
      </c>
      <c r="H286" s="47" t="s">
        <v>15</v>
      </c>
    </row>
    <row r="287" spans="1:8" ht="15.75">
      <c r="A287" s="73">
        <v>1</v>
      </c>
      <c r="B287" s="49" t="s">
        <v>71</v>
      </c>
      <c r="C287" s="50">
        <v>12</v>
      </c>
      <c r="D287" s="51">
        <v>209.4</v>
      </c>
      <c r="E287" s="52">
        <v>0</v>
      </c>
      <c r="F287" s="52">
        <v>0</v>
      </c>
      <c r="G287" s="52">
        <v>231</v>
      </c>
      <c r="H287" s="53">
        <v>0</v>
      </c>
    </row>
    <row r="288" spans="1:8" ht="15.75">
      <c r="A288" s="73">
        <v>2</v>
      </c>
      <c r="B288" s="49" t="s">
        <v>135</v>
      </c>
      <c r="C288" s="50">
        <v>0</v>
      </c>
      <c r="D288" s="51">
        <v>0</v>
      </c>
      <c r="E288" s="52">
        <v>20.9</v>
      </c>
      <c r="F288" s="52">
        <v>41.8</v>
      </c>
      <c r="G288" s="52">
        <v>438</v>
      </c>
      <c r="H288" s="53">
        <v>160</v>
      </c>
    </row>
    <row r="289" spans="1:8" ht="15.75">
      <c r="A289" s="21">
        <v>3</v>
      </c>
      <c r="B289" s="43" t="s">
        <v>75</v>
      </c>
      <c r="C289" s="54">
        <v>22</v>
      </c>
      <c r="D289" s="58">
        <v>196.33</v>
      </c>
      <c r="E289" s="56">
        <v>20.89</v>
      </c>
      <c r="F289" s="56">
        <v>41.78</v>
      </c>
      <c r="G289" s="56">
        <v>457.8</v>
      </c>
      <c r="H289" s="57">
        <v>150</v>
      </c>
    </row>
    <row r="290" spans="1:8" ht="15.75">
      <c r="A290" s="1">
        <v>4</v>
      </c>
      <c r="B290" s="43" t="s">
        <v>87</v>
      </c>
      <c r="C290" s="54">
        <v>7</v>
      </c>
      <c r="D290" s="58">
        <v>290.85</v>
      </c>
      <c r="E290" s="56">
        <v>34.85</v>
      </c>
      <c r="F290" s="56">
        <v>69.7</v>
      </c>
      <c r="G290" s="56">
        <v>697</v>
      </c>
      <c r="H290" s="57">
        <v>80</v>
      </c>
    </row>
    <row r="291" spans="1:8" ht="15.75">
      <c r="A291" s="1">
        <v>5</v>
      </c>
      <c r="B291" s="43" t="s">
        <v>79</v>
      </c>
      <c r="C291" s="54">
        <v>0</v>
      </c>
      <c r="D291" s="58">
        <v>0</v>
      </c>
      <c r="E291" s="56">
        <v>0</v>
      </c>
      <c r="F291" s="56">
        <v>0</v>
      </c>
      <c r="G291" s="56">
        <v>398</v>
      </c>
      <c r="H291" s="57">
        <v>0</v>
      </c>
    </row>
    <row r="292" spans="1:8" ht="15.75">
      <c r="A292" s="21"/>
      <c r="B292" s="74" t="s">
        <v>80</v>
      </c>
      <c r="C292" s="13">
        <f aca="true" t="shared" si="21" ref="C292:H292">SUM(C287:C291)</f>
        <v>41</v>
      </c>
      <c r="D292" s="13">
        <f t="shared" si="21"/>
        <v>696.58</v>
      </c>
      <c r="E292" s="15">
        <f t="shared" si="21"/>
        <v>76.64</v>
      </c>
      <c r="F292" s="15">
        <f t="shared" si="21"/>
        <v>153.28</v>
      </c>
      <c r="G292" s="15">
        <f t="shared" si="21"/>
        <v>2221.8</v>
      </c>
      <c r="H292" s="13">
        <f t="shared" si="21"/>
        <v>390</v>
      </c>
    </row>
    <row r="293" spans="1:8" ht="15.75">
      <c r="A293" s="75"/>
      <c r="B293" s="104"/>
      <c r="C293" s="105"/>
      <c r="D293" s="105"/>
      <c r="E293" s="105"/>
      <c r="F293" s="105"/>
      <c r="G293" s="105"/>
      <c r="H293" s="105"/>
    </row>
    <row r="294" spans="1:8" ht="15.75">
      <c r="A294" s="30"/>
      <c r="B294" s="31"/>
      <c r="C294" s="32"/>
      <c r="D294" s="33" t="s">
        <v>136</v>
      </c>
      <c r="E294" s="34"/>
      <c r="F294" s="34"/>
      <c r="G294" s="34"/>
      <c r="H294" s="35"/>
    </row>
    <row r="295" spans="1:8" ht="31.5">
      <c r="A295" s="36" t="s">
        <v>61</v>
      </c>
      <c r="B295" s="37" t="s">
        <v>62</v>
      </c>
      <c r="C295" s="38" t="s">
        <v>5</v>
      </c>
      <c r="D295" s="39" t="s">
        <v>6</v>
      </c>
      <c r="E295" s="40" t="s">
        <v>7</v>
      </c>
      <c r="F295" s="41" t="s">
        <v>8</v>
      </c>
      <c r="G295" s="41" t="s">
        <v>9</v>
      </c>
      <c r="H295" s="42" t="s">
        <v>63</v>
      </c>
    </row>
    <row r="296" spans="1:8" ht="15.75">
      <c r="A296" s="21"/>
      <c r="B296" s="43"/>
      <c r="C296" s="44"/>
      <c r="D296" s="45" t="s">
        <v>11</v>
      </c>
      <c r="E296" s="46" t="s">
        <v>64</v>
      </c>
      <c r="F296" s="46" t="s">
        <v>65</v>
      </c>
      <c r="G296" s="46" t="s">
        <v>66</v>
      </c>
      <c r="H296" s="47" t="s">
        <v>15</v>
      </c>
    </row>
    <row r="297" spans="1:8" s="18" customFormat="1" ht="15.75">
      <c r="A297" s="11">
        <v>1</v>
      </c>
      <c r="B297" s="49" t="s">
        <v>67</v>
      </c>
      <c r="C297" s="49">
        <v>1</v>
      </c>
      <c r="D297" s="124">
        <v>3620</v>
      </c>
      <c r="E297" s="125">
        <v>812</v>
      </c>
      <c r="F297" s="125">
        <v>8769.6</v>
      </c>
      <c r="G297" s="125">
        <v>339152</v>
      </c>
      <c r="H297" s="49">
        <v>1050</v>
      </c>
    </row>
    <row r="298" spans="1:8" ht="15.75">
      <c r="A298" s="11">
        <f aca="true" t="shared" si="22" ref="A298:A311">+A297+1</f>
        <v>2</v>
      </c>
      <c r="B298" s="49" t="s">
        <v>68</v>
      </c>
      <c r="C298" s="49">
        <v>4</v>
      </c>
      <c r="D298" s="124">
        <v>298.58</v>
      </c>
      <c r="E298" s="125">
        <v>0</v>
      </c>
      <c r="F298" s="125">
        <v>0</v>
      </c>
      <c r="G298" s="125">
        <v>30</v>
      </c>
      <c r="H298" s="49">
        <v>8</v>
      </c>
    </row>
    <row r="299" spans="1:8" ht="15.75">
      <c r="A299" s="11">
        <f t="shared" si="22"/>
        <v>3</v>
      </c>
      <c r="B299" s="49" t="s">
        <v>85</v>
      </c>
      <c r="C299" s="49">
        <v>1</v>
      </c>
      <c r="D299" s="124">
        <v>31</v>
      </c>
      <c r="E299" s="125">
        <v>6.712</v>
      </c>
      <c r="F299" s="125">
        <v>13.424</v>
      </c>
      <c r="G299" s="125">
        <v>423</v>
      </c>
      <c r="H299" s="49">
        <v>12</v>
      </c>
    </row>
    <row r="300" spans="1:8" s="18" customFormat="1" ht="15.75">
      <c r="A300" s="11">
        <f t="shared" si="22"/>
        <v>4</v>
      </c>
      <c r="B300" s="49" t="s">
        <v>83</v>
      </c>
      <c r="C300" s="49">
        <v>11</v>
      </c>
      <c r="D300" s="124">
        <v>161.72</v>
      </c>
      <c r="E300" s="125">
        <v>26.297</v>
      </c>
      <c r="F300" s="125">
        <v>56.092999999999996</v>
      </c>
      <c r="G300" s="125">
        <v>1873</v>
      </c>
      <c r="H300" s="49">
        <v>172</v>
      </c>
    </row>
    <row r="301" spans="1:8" ht="15.75">
      <c r="A301" s="11">
        <f t="shared" si="22"/>
        <v>5</v>
      </c>
      <c r="B301" s="49" t="s">
        <v>107</v>
      </c>
      <c r="C301" s="49">
        <v>0</v>
      </c>
      <c r="D301" s="124">
        <v>0</v>
      </c>
      <c r="E301" s="125">
        <v>0</v>
      </c>
      <c r="F301" s="125">
        <v>0</v>
      </c>
      <c r="G301" s="125">
        <v>12241</v>
      </c>
      <c r="H301" s="49">
        <v>0</v>
      </c>
    </row>
    <row r="302" spans="1:8" ht="15.75">
      <c r="A302" s="11">
        <f t="shared" si="22"/>
        <v>6</v>
      </c>
      <c r="B302" s="49" t="s">
        <v>93</v>
      </c>
      <c r="C302" s="49">
        <v>0</v>
      </c>
      <c r="D302" s="124">
        <v>0</v>
      </c>
      <c r="E302" s="125">
        <v>59.328</v>
      </c>
      <c r="F302" s="125">
        <v>151.012</v>
      </c>
      <c r="G302" s="125">
        <v>4651</v>
      </c>
      <c r="H302" s="49">
        <v>145</v>
      </c>
    </row>
    <row r="303" spans="1:8" ht="15.75">
      <c r="A303" s="11">
        <f t="shared" si="22"/>
        <v>7</v>
      </c>
      <c r="B303" s="49" t="s">
        <v>72</v>
      </c>
      <c r="C303" s="49">
        <v>2</v>
      </c>
      <c r="D303" s="124">
        <v>923.27</v>
      </c>
      <c r="E303" s="125">
        <v>0</v>
      </c>
      <c r="F303" s="125">
        <v>0</v>
      </c>
      <c r="G303" s="125">
        <v>0</v>
      </c>
      <c r="H303" s="49">
        <v>0</v>
      </c>
    </row>
    <row r="304" spans="1:8" ht="18" customHeight="1">
      <c r="A304" s="11">
        <f t="shared" si="22"/>
        <v>8</v>
      </c>
      <c r="B304" s="49" t="s">
        <v>89</v>
      </c>
      <c r="C304" s="49">
        <v>5</v>
      </c>
      <c r="D304" s="124">
        <v>182.2</v>
      </c>
      <c r="E304" s="125">
        <v>18.29</v>
      </c>
      <c r="F304" s="125">
        <v>16.46</v>
      </c>
      <c r="G304" s="125">
        <v>120</v>
      </c>
      <c r="H304" s="49">
        <v>30</v>
      </c>
    </row>
    <row r="305" spans="1:8" s="18" customFormat="1" ht="15.75">
      <c r="A305" s="11">
        <f t="shared" si="22"/>
        <v>9</v>
      </c>
      <c r="B305" s="49" t="s">
        <v>106</v>
      </c>
      <c r="C305" s="49">
        <v>5</v>
      </c>
      <c r="D305" s="124">
        <v>148.85</v>
      </c>
      <c r="E305" s="125">
        <v>12.963</v>
      </c>
      <c r="F305" s="125">
        <v>23.334</v>
      </c>
      <c r="G305" s="125">
        <v>103</v>
      </c>
      <c r="H305" s="49">
        <v>180</v>
      </c>
    </row>
    <row r="306" spans="1:8" ht="15.75">
      <c r="A306" s="11">
        <f t="shared" si="22"/>
        <v>10</v>
      </c>
      <c r="B306" s="49" t="s">
        <v>75</v>
      </c>
      <c r="C306" s="49">
        <v>8</v>
      </c>
      <c r="D306" s="124">
        <v>55.37</v>
      </c>
      <c r="E306" s="125">
        <v>5.4</v>
      </c>
      <c r="F306" s="125">
        <v>19.44</v>
      </c>
      <c r="G306" s="125">
        <v>1008</v>
      </c>
      <c r="H306" s="49">
        <v>0</v>
      </c>
    </row>
    <row r="307" spans="1:8" ht="15.75">
      <c r="A307" s="11">
        <f t="shared" si="22"/>
        <v>11</v>
      </c>
      <c r="B307" s="49" t="s">
        <v>137</v>
      </c>
      <c r="C307" s="49">
        <v>6</v>
      </c>
      <c r="D307" s="124">
        <v>2533.98</v>
      </c>
      <c r="E307" s="125">
        <v>1819.027</v>
      </c>
      <c r="F307" s="125">
        <v>21828.324</v>
      </c>
      <c r="G307" s="125">
        <v>300512</v>
      </c>
      <c r="H307" s="49">
        <v>940</v>
      </c>
    </row>
    <row r="308" spans="1:8" ht="15.75">
      <c r="A308" s="11">
        <f t="shared" si="22"/>
        <v>12</v>
      </c>
      <c r="B308" s="49" t="s">
        <v>138</v>
      </c>
      <c r="C308" s="49">
        <v>0</v>
      </c>
      <c r="D308" s="124">
        <v>0</v>
      </c>
      <c r="E308" s="125">
        <v>0</v>
      </c>
      <c r="F308" s="125">
        <v>0</v>
      </c>
      <c r="G308" s="125">
        <v>10</v>
      </c>
      <c r="H308" s="49">
        <v>0</v>
      </c>
    </row>
    <row r="309" spans="1:8" ht="15.75">
      <c r="A309" s="11">
        <f t="shared" si="22"/>
        <v>13</v>
      </c>
      <c r="B309" s="49" t="s">
        <v>139</v>
      </c>
      <c r="C309" s="49">
        <v>1</v>
      </c>
      <c r="D309" s="124">
        <v>50.5</v>
      </c>
      <c r="E309" s="125">
        <v>0</v>
      </c>
      <c r="F309" s="125">
        <v>0</v>
      </c>
      <c r="G309" s="125">
        <v>0</v>
      </c>
      <c r="H309" s="49">
        <v>0</v>
      </c>
    </row>
    <row r="310" spans="1:8" s="18" customFormat="1" ht="15.75">
      <c r="A310" s="11">
        <f t="shared" si="22"/>
        <v>14</v>
      </c>
      <c r="B310" s="49" t="s">
        <v>76</v>
      </c>
      <c r="C310" s="49">
        <v>125</v>
      </c>
      <c r="D310" s="124">
        <v>5584.52</v>
      </c>
      <c r="E310" s="125">
        <v>246.987</v>
      </c>
      <c r="F310" s="125">
        <v>3055.417</v>
      </c>
      <c r="G310" s="125">
        <v>27154.959</v>
      </c>
      <c r="H310" s="49">
        <v>1779</v>
      </c>
    </row>
    <row r="311" spans="1:8" s="18" customFormat="1" ht="15.75">
      <c r="A311" s="11">
        <f t="shared" si="22"/>
        <v>15</v>
      </c>
      <c r="B311" s="49" t="s">
        <v>78</v>
      </c>
      <c r="C311" s="49">
        <v>2</v>
      </c>
      <c r="D311" s="124">
        <v>203.8</v>
      </c>
      <c r="E311" s="125">
        <v>0</v>
      </c>
      <c r="F311" s="125">
        <v>0</v>
      </c>
      <c r="G311" s="125">
        <v>0</v>
      </c>
      <c r="H311" s="49">
        <v>0</v>
      </c>
    </row>
    <row r="312" spans="1:8" ht="15.75">
      <c r="A312" s="21"/>
      <c r="B312" s="74" t="s">
        <v>80</v>
      </c>
      <c r="C312" s="13">
        <f aca="true" t="shared" si="23" ref="C312:H312">SUM(C297:C311)</f>
        <v>171</v>
      </c>
      <c r="D312" s="13">
        <f t="shared" si="23"/>
        <v>13793.789999999999</v>
      </c>
      <c r="E312" s="13">
        <f t="shared" si="23"/>
        <v>3007.004</v>
      </c>
      <c r="F312" s="13">
        <f t="shared" si="23"/>
        <v>33933.10400000001</v>
      </c>
      <c r="G312" s="13">
        <f t="shared" si="23"/>
        <v>687277.959</v>
      </c>
      <c r="H312" s="13">
        <f t="shared" si="23"/>
        <v>4316</v>
      </c>
    </row>
    <row r="313" spans="1:8" ht="15.75">
      <c r="A313" s="11"/>
      <c r="B313" s="74"/>
      <c r="C313" s="126"/>
      <c r="D313" s="127"/>
      <c r="E313" s="128"/>
      <c r="F313" s="128"/>
      <c r="G313" s="128"/>
      <c r="H313" s="119"/>
    </row>
    <row r="314" spans="1:8" ht="15.75">
      <c r="A314" s="11"/>
      <c r="B314" s="74" t="s">
        <v>140</v>
      </c>
      <c r="C314" s="129">
        <f aca="true" t="shared" si="24" ref="C314:H314">+C19+C35+C44+C53+C62+C71+C91+C100+C112+C123+C130+C138+C151+C159+C170+C185+C194+C201+C211+C224+C240+C250+C264+C270+C276+C282+C292+C312</f>
        <v>1558</v>
      </c>
      <c r="D314" s="127">
        <f t="shared" si="24"/>
        <v>92948.65099999998</v>
      </c>
      <c r="E314" s="128">
        <f t="shared" si="24"/>
        <v>44503.00199999999</v>
      </c>
      <c r="F314" s="128">
        <f t="shared" si="24"/>
        <v>139282.3103</v>
      </c>
      <c r="G314" s="128">
        <f t="shared" si="24"/>
        <v>8130334.865000001</v>
      </c>
      <c r="H314" s="129">
        <f t="shared" si="24"/>
        <v>27035</v>
      </c>
    </row>
  </sheetData>
  <mergeCells count="2">
    <mergeCell ref="A282:B282"/>
    <mergeCell ref="A1:H1"/>
  </mergeCells>
  <printOptions/>
  <pageMargins left="0.75" right="0.57" top="0.6" bottom="0.6" header="0.5" footer="0.5"/>
  <pageSetup horizontalDpi="120" verticalDpi="120" orientation="portrait" paperSize="9" scale="95" r:id="rId1"/>
  <headerFooter alignWithMargins="0">
    <oddHeader xml:space="preserve">&amp;CDISTRICTWISE MAJOR MINERAL STATISTICS Year 2006-07 </oddHeader>
    <oddFooter>&amp;L&amp;Z&amp;F&amp;R&amp;P of &amp;N</oddFooter>
  </headerFooter>
  <rowBreaks count="3" manualBreakCount="3">
    <brk id="45" max="7" man="1"/>
    <brk id="225" max="7" man="1"/>
    <brk id="27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DMG</cp:lastModifiedBy>
  <cp:lastPrinted>2007-10-27T07:12:34Z</cp:lastPrinted>
  <dcterms:created xsi:type="dcterms:W3CDTF">1996-10-14T23:33:28Z</dcterms:created>
  <dcterms:modified xsi:type="dcterms:W3CDTF">2007-11-05T09:56:34Z</dcterms:modified>
  <cp:category/>
  <cp:version/>
  <cp:contentType/>
  <cp:contentStatus/>
</cp:coreProperties>
</file>