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853" activeTab="0"/>
  </bookViews>
  <sheets>
    <sheet name="Front Major" sheetId="1" r:id="rId1"/>
    <sheet name="Front Minor" sheetId="2" r:id="rId2"/>
    <sheet name="Mineral Major" sheetId="3" r:id="rId3"/>
    <sheet name="Mineral Minor" sheetId="4" r:id="rId4"/>
    <sheet name="Office Major" sheetId="5" r:id="rId5"/>
    <sheet name="Office minor" sheetId="6" r:id="rId6"/>
    <sheet name="Distt. Major Final" sheetId="7" r:id="rId7"/>
    <sheet name="Distt. Minor Final" sheetId="8" r:id="rId8"/>
    <sheet name="Categorywise" sheetId="9" r:id="rId9"/>
    <sheet name="Leases Count" sheetId="10" r:id="rId10"/>
  </sheets>
  <definedNames>
    <definedName name="Pay_mar_2010_10">#REF!</definedName>
    <definedName name="Pay_mar_2010_9">#REF!</definedName>
    <definedName name="_xlnm.Print_Area" localSheetId="6">'Distt. Major Final'!$A$1:$H$384</definedName>
    <definedName name="_xlnm.Print_Area" localSheetId="7">'Distt. Minor Final'!$A$1:$H$504</definedName>
    <definedName name="_xlnm.Print_Area" localSheetId="0">'Front Major'!$A$1:$I$44</definedName>
    <definedName name="_xlnm.Print_Area" localSheetId="3">'Mineral Minor'!$A$1:$H$479</definedName>
    <definedName name="_xlnm.Print_Area" localSheetId="4">'Office Major'!$A$1:$R$429</definedName>
    <definedName name="_xlnm.Print_Area" localSheetId="5">'Office minor'!$B$1:$Q$563</definedName>
    <definedName name="_xlnm.Print_Titles" localSheetId="5">'Office minor'!$2:$2</definedName>
  </definedNames>
  <calcPr fullCalcOnLoad="1"/>
</workbook>
</file>

<file path=xl/sharedStrings.xml><?xml version="1.0" encoding="utf-8"?>
<sst xmlns="http://schemas.openxmlformats.org/spreadsheetml/2006/main" count="6756" uniqueCount="393">
  <si>
    <t>Department of Mines &amp; Geology , Udaipur</t>
  </si>
  <si>
    <t>Officewise report (major minerals)</t>
  </si>
  <si>
    <t>F.Y. : 2008-09</t>
  </si>
  <si>
    <t>ME Aamet</t>
  </si>
  <si>
    <t>S. No.</t>
  </si>
  <si>
    <t>Mineral</t>
  </si>
  <si>
    <t>Leases</t>
  </si>
  <si>
    <t>Area</t>
  </si>
  <si>
    <t>Production</t>
  </si>
  <si>
    <t>Sale Value</t>
  </si>
  <si>
    <t>Revenue</t>
  </si>
  <si>
    <t>Employment</t>
  </si>
  <si>
    <t>(in Hector)</t>
  </si>
  <si>
    <t>(Tons)</t>
  </si>
  <si>
    <t>(`)</t>
  </si>
  <si>
    <t>(Nos.)</t>
  </si>
  <si>
    <t>Asbestos</t>
  </si>
  <si>
    <t>Quartz</t>
  </si>
  <si>
    <t xml:space="preserve">Felspar </t>
  </si>
  <si>
    <t>TOTAL</t>
  </si>
  <si>
    <t>ME Ajmer</t>
  </si>
  <si>
    <t>Felspar</t>
  </si>
  <si>
    <t>Wollastonite</t>
  </si>
  <si>
    <t>Emrald</t>
  </si>
  <si>
    <t>Magnesite</t>
  </si>
  <si>
    <t>Soapstone</t>
  </si>
  <si>
    <t>Mica</t>
  </si>
  <si>
    <t>Limestone</t>
  </si>
  <si>
    <t>Lead-Zinc</t>
  </si>
  <si>
    <t>Garnet</t>
  </si>
  <si>
    <t>Vermiculite</t>
  </si>
  <si>
    <t>Calcite</t>
  </si>
  <si>
    <t>ME Alwar</t>
  </si>
  <si>
    <t>Iron ore</t>
  </si>
  <si>
    <t>Barytes</t>
  </si>
  <si>
    <t>Phyrophilite</t>
  </si>
  <si>
    <t>Silica Sand</t>
  </si>
  <si>
    <t>AME Banswara</t>
  </si>
  <si>
    <t>Manganese</t>
  </si>
  <si>
    <t>Dolomite</t>
  </si>
  <si>
    <t>Graphite</t>
  </si>
  <si>
    <t>Misc. Income</t>
  </si>
  <si>
    <t>AME Barmer</t>
  </si>
  <si>
    <t>Lignite</t>
  </si>
  <si>
    <t>Silicious Earth</t>
  </si>
  <si>
    <t>_</t>
  </si>
  <si>
    <t>Selenite</t>
  </si>
  <si>
    <t>China Clay</t>
  </si>
  <si>
    <t>Gypsum</t>
  </si>
  <si>
    <t>ME Bharatpur</t>
  </si>
  <si>
    <t>Red Ochre</t>
  </si>
  <si>
    <t>Fire clay</t>
  </si>
  <si>
    <t>---</t>
  </si>
  <si>
    <t>-</t>
  </si>
  <si>
    <t>ME Bhilwara</t>
  </si>
  <si>
    <t>Lead Zinc (ROM)</t>
  </si>
  <si>
    <t>Lead conc.</t>
  </si>
  <si>
    <t>Zinc Conc.</t>
  </si>
  <si>
    <t>Silver (Kg.)</t>
  </si>
  <si>
    <t>Cadmium</t>
  </si>
  <si>
    <t>Kyanite</t>
  </si>
  <si>
    <t>Ochres</t>
  </si>
  <si>
    <t>Garnet(Abr.&amp; Crude)</t>
  </si>
  <si>
    <t>ME Bijoliya</t>
  </si>
  <si>
    <t>Ochres (Yellow)</t>
  </si>
  <si>
    <t>ME Bikaner</t>
  </si>
  <si>
    <t>Ball Clay</t>
  </si>
  <si>
    <t>ME Bundi II</t>
  </si>
  <si>
    <t>ME Chittorgarh</t>
  </si>
  <si>
    <t>AME Dungarpur</t>
  </si>
  <si>
    <t>Fluorite</t>
  </si>
  <si>
    <t>AME Gotan</t>
  </si>
  <si>
    <t>Quartz-Felspar</t>
  </si>
  <si>
    <t>ME Jaipur</t>
  </si>
  <si>
    <t>Mica   (Tons)</t>
  </si>
  <si>
    <t>AME Jaisalmer</t>
  </si>
  <si>
    <t>Limestone(SMS)</t>
  </si>
  <si>
    <t>Silicious earth</t>
  </si>
  <si>
    <t>Ochre(Yellow)</t>
  </si>
  <si>
    <t>AME Jalore</t>
  </si>
  <si>
    <t>Jasper</t>
  </si>
  <si>
    <t>ME Jodhpur</t>
  </si>
  <si>
    <t>ME Karoli</t>
  </si>
  <si>
    <t>ME Kota</t>
  </si>
  <si>
    <t>AME Kotputli</t>
  </si>
  <si>
    <t>ME Makrana</t>
  </si>
  <si>
    <t>ME Nagaur</t>
  </si>
  <si>
    <t>China clay</t>
  </si>
  <si>
    <t>AME Nimbahera</t>
  </si>
  <si>
    <t>ME Rajsamand I</t>
  </si>
  <si>
    <t>ME Rajsamand II</t>
  </si>
  <si>
    <t>Lead Conc.</t>
  </si>
  <si>
    <t>Quartz.Felspar</t>
  </si>
  <si>
    <t>ME Ramganj Mandi</t>
  </si>
  <si>
    <t>AME Rishabhdev</t>
  </si>
  <si>
    <t>AME Salumber</t>
  </si>
  <si>
    <t>AME Shri Ganganagar</t>
  </si>
  <si>
    <t>ME Sikar</t>
  </si>
  <si>
    <t>Copper</t>
  </si>
  <si>
    <t>Fire Clay</t>
  </si>
  <si>
    <t>Felspar-Quartz/ Silica Sand</t>
  </si>
  <si>
    <t>----</t>
  </si>
  <si>
    <t>ME Sirohi</t>
  </si>
  <si>
    <t>Lead_Zinc</t>
  </si>
  <si>
    <t>ME Sojat City</t>
  </si>
  <si>
    <t>AME Tonk</t>
  </si>
  <si>
    <t>AME Sri Ganganagar</t>
  </si>
  <si>
    <r>
      <t>Garnet</t>
    </r>
    <r>
      <rPr>
        <sz val="9"/>
        <rFont val="Times New Roman"/>
        <family val="1"/>
      </rPr>
      <t>(Abr.&amp; Crude)</t>
    </r>
  </si>
  <si>
    <t>ME Udaipur</t>
  </si>
  <si>
    <t>Silver ( Kg.)</t>
  </si>
  <si>
    <t>Ochres(Red Ochre)</t>
  </si>
  <si>
    <t>Rock-Phosphate</t>
  </si>
  <si>
    <t>Gr. TOTAL</t>
  </si>
  <si>
    <t>Officewise Summary Report (Major Minerals)</t>
  </si>
  <si>
    <t>Office</t>
  </si>
  <si>
    <t>No.</t>
  </si>
  <si>
    <t xml:space="preserve">YEAR 2008-09                </t>
  </si>
  <si>
    <t>ME Makarana</t>
  </si>
  <si>
    <t>AME Sriganganagar</t>
  </si>
  <si>
    <t xml:space="preserve"> Department of Mines &amp; Geology, Udaipur</t>
  </si>
  <si>
    <t xml:space="preserve">Officewise report (minor minerals) </t>
  </si>
  <si>
    <t>S.No.</t>
  </si>
  <si>
    <t>Granite</t>
  </si>
  <si>
    <t>Kankar-Bajri</t>
  </si>
  <si>
    <t>Marble</t>
  </si>
  <si>
    <t>Masonary Stone</t>
  </si>
  <si>
    <t>Phylite- shist</t>
  </si>
  <si>
    <t>Slate Stone</t>
  </si>
  <si>
    <t>Inc. from Govt. Deptt.</t>
  </si>
  <si>
    <t>Total</t>
  </si>
  <si>
    <t>Masanory stone</t>
  </si>
  <si>
    <t>Quartzite</t>
  </si>
  <si>
    <t>Kankar-Bazri</t>
  </si>
  <si>
    <t>Patti Katla</t>
  </si>
  <si>
    <t>Brick earth</t>
  </si>
  <si>
    <t>Brick Earth</t>
  </si>
  <si>
    <t>Chert</t>
  </si>
  <si>
    <t>Limestone (Burning)</t>
  </si>
  <si>
    <t>AME Balesar</t>
  </si>
  <si>
    <t>Murram/ Gravel</t>
  </si>
  <si>
    <t>Sandstone</t>
  </si>
  <si>
    <t>Bentonite</t>
  </si>
  <si>
    <t>Fuller,s Earth</t>
  </si>
  <si>
    <t>Masanory Stone</t>
  </si>
  <si>
    <t>Gravel</t>
  </si>
  <si>
    <t>Mitti</t>
  </si>
  <si>
    <t>Jhinkara</t>
  </si>
  <si>
    <t>ME Bijolia</t>
  </si>
  <si>
    <t>Murram</t>
  </si>
  <si>
    <t>Mill Stone</t>
  </si>
  <si>
    <t>--</t>
  </si>
  <si>
    <t>Phylite-Shisht</t>
  </si>
  <si>
    <t>Fuller's Earth</t>
  </si>
  <si>
    <t>Stone ballast</t>
  </si>
  <si>
    <t>ME Bundi -I</t>
  </si>
  <si>
    <t>ME Bundi -II</t>
  </si>
  <si>
    <t>Slate stone</t>
  </si>
  <si>
    <t>Limestone (Dimn.)</t>
  </si>
  <si>
    <t>Road Metal</t>
  </si>
  <si>
    <t>Balast</t>
  </si>
  <si>
    <t>Stone Balast</t>
  </si>
  <si>
    <t>ME Dholpur</t>
  </si>
  <si>
    <t>Serpentine</t>
  </si>
  <si>
    <t>AME Jhalawar</t>
  </si>
  <si>
    <t>Bantonite</t>
  </si>
  <si>
    <t>Limestone (Dimnl.)</t>
  </si>
  <si>
    <t>Rhyolite</t>
  </si>
  <si>
    <t>ME Karauli</t>
  </si>
  <si>
    <t>Fuller's Earth/Kharia Mitti</t>
  </si>
  <si>
    <t>Mill stone</t>
  </si>
  <si>
    <t>Chips Powder</t>
  </si>
  <si>
    <t>Murram/mitti</t>
  </si>
  <si>
    <t>Fuller's Earth/mitti</t>
  </si>
  <si>
    <t>Murram/Gitti/Gravel</t>
  </si>
  <si>
    <t>Limestone (Building)</t>
  </si>
  <si>
    <t>Murram/Gitti /Gravel</t>
  </si>
  <si>
    <t>Phylite-Shist</t>
  </si>
  <si>
    <t>Chikani Mitti</t>
  </si>
  <si>
    <t>Phylite/ Patti Katla</t>
  </si>
  <si>
    <t>Murram/ Khanda</t>
  </si>
  <si>
    <t>Limestone(Burning)</t>
  </si>
  <si>
    <t>Limestone(Dimensional)</t>
  </si>
  <si>
    <t>ME Sojatcity</t>
  </si>
  <si>
    <t>Phylite-shist/Patti Katla</t>
  </si>
  <si>
    <t>Salt Petre</t>
  </si>
  <si>
    <t>Gr. Total</t>
  </si>
  <si>
    <t>Officewise Summary Report (Minor Minerals)</t>
  </si>
  <si>
    <t>ME  Aamet</t>
  </si>
  <si>
    <t>ME  Ajmer</t>
  </si>
  <si>
    <t>ME  Alwar</t>
  </si>
  <si>
    <t>ME  Bijoliya</t>
  </si>
  <si>
    <t>ME  Bharatpur</t>
  </si>
  <si>
    <t>ME  Bhilwara</t>
  </si>
  <si>
    <t>ME  Bikaner</t>
  </si>
  <si>
    <t>ME  Bundi I</t>
  </si>
  <si>
    <t>ME  Bundi II</t>
  </si>
  <si>
    <t>ME  Chittorgarh</t>
  </si>
  <si>
    <t>ME  Dholpur</t>
  </si>
  <si>
    <t>ME  Jaipur</t>
  </si>
  <si>
    <t>ME  Jalore</t>
  </si>
  <si>
    <t>ME  Jodhpur</t>
  </si>
  <si>
    <t>ME  Karoli</t>
  </si>
  <si>
    <t>ME  Kota</t>
  </si>
  <si>
    <t>ME  Makarana</t>
  </si>
  <si>
    <t>ME  Nagaur</t>
  </si>
  <si>
    <t>ME  Rajsamand I</t>
  </si>
  <si>
    <t>ME  Rajsamand II</t>
  </si>
  <si>
    <t>ME  Ramganj Mandi</t>
  </si>
  <si>
    <t>ME  Sikar</t>
  </si>
  <si>
    <t>ME  Sirohi</t>
  </si>
  <si>
    <t>ME  Sojat City</t>
  </si>
  <si>
    <t>ME  Udaipur</t>
  </si>
  <si>
    <t>Gr.Total</t>
  </si>
  <si>
    <t>Ajmer</t>
  </si>
  <si>
    <t>(Rs.)</t>
  </si>
  <si>
    <t>Alwar</t>
  </si>
  <si>
    <t>Banswara</t>
  </si>
  <si>
    <t xml:space="preserve"> Barmer</t>
  </si>
  <si>
    <t>Baran</t>
  </si>
  <si>
    <t>Bharatpur</t>
  </si>
  <si>
    <t>Bhilwara</t>
  </si>
  <si>
    <t>Bikaner</t>
  </si>
  <si>
    <t xml:space="preserve">Bundi </t>
  </si>
  <si>
    <t>Chittorgarh</t>
  </si>
  <si>
    <t>Churu</t>
  </si>
  <si>
    <t>Dausa</t>
  </si>
  <si>
    <t>Dholpur</t>
  </si>
  <si>
    <t>Dungarpur</t>
  </si>
  <si>
    <t>Hanumangarh</t>
  </si>
  <si>
    <t>Jaisalmer</t>
  </si>
  <si>
    <t>Jaipur</t>
  </si>
  <si>
    <t>Jalore</t>
  </si>
  <si>
    <t>Jhalawar</t>
  </si>
  <si>
    <t>Jhunjhunu</t>
  </si>
  <si>
    <t xml:space="preserve"> Jodhpur</t>
  </si>
  <si>
    <t>Karauli</t>
  </si>
  <si>
    <t>Kota</t>
  </si>
  <si>
    <t>Nagaur</t>
  </si>
  <si>
    <t>Pali</t>
  </si>
  <si>
    <t>Pratapgarh</t>
  </si>
  <si>
    <t>Rajsamand</t>
  </si>
  <si>
    <t xml:space="preserve">Sawai Madhopur </t>
  </si>
  <si>
    <t>Sriganganagar</t>
  </si>
  <si>
    <t>Sikar</t>
  </si>
  <si>
    <t>Sirohi</t>
  </si>
  <si>
    <t xml:space="preserve">Tonk </t>
  </si>
  <si>
    <t>Udaipur</t>
  </si>
  <si>
    <t>Mines &amp; Geology Department, Udaipur</t>
  </si>
  <si>
    <t>DISTRICTWISE MAJOR MINERAL STATISTICS</t>
  </si>
  <si>
    <t>Barmer</t>
  </si>
  <si>
    <t>Bundi</t>
  </si>
  <si>
    <t>Jaiselmer</t>
  </si>
  <si>
    <t>Jodhpur</t>
  </si>
  <si>
    <t>Karoli</t>
  </si>
  <si>
    <t xml:space="preserve">Rajsamand </t>
  </si>
  <si>
    <t>Sawai Madhopur</t>
  </si>
  <si>
    <t>Shri Ganganagar</t>
  </si>
  <si>
    <t>Tonk</t>
  </si>
  <si>
    <t xml:space="preserve"> Alwar</t>
  </si>
  <si>
    <t>Copper Ore</t>
  </si>
  <si>
    <t>Iron Ore</t>
  </si>
  <si>
    <t xml:space="preserve"> Kota</t>
  </si>
  <si>
    <t>Sri Ganganagar</t>
  </si>
  <si>
    <t>Silver</t>
  </si>
  <si>
    <t>ME Pratapgarh</t>
  </si>
  <si>
    <t xml:space="preserve">Murram/Gravel/Gitti </t>
  </si>
  <si>
    <t>DISTRICTWISE MINOR MINERAL STATISTICS</t>
  </si>
  <si>
    <t>Pyrophilite</t>
  </si>
  <si>
    <t>( No.)</t>
  </si>
  <si>
    <t>Emrald crude</t>
  </si>
  <si>
    <t xml:space="preserve">Mica  </t>
  </si>
  <si>
    <t>Ochres/ Red Ochre/ Yellow Ochre</t>
  </si>
  <si>
    <t>Siliceous earth</t>
  </si>
  <si>
    <t>Siliminite</t>
  </si>
  <si>
    <t>Mineral wise Summary Report (Major Minerals)</t>
  </si>
  <si>
    <t>Siliceous Earth</t>
  </si>
  <si>
    <t>Mineralwise Report (Minor Minerals )</t>
  </si>
  <si>
    <t>(in Hectors)</t>
  </si>
  <si>
    <t>Fuller's Earth/ Chikani mitti/other mitti</t>
  </si>
  <si>
    <t xml:space="preserve">Mineralwise Report (Major Minerals ) </t>
  </si>
  <si>
    <t>`</t>
  </si>
  <si>
    <t>dz-la-</t>
  </si>
  <si>
    <t xml:space="preserve">[kfut fj;k;rksa dk izdkj </t>
  </si>
  <si>
    <t xml:space="preserve">viz/kku [kfut </t>
  </si>
  <si>
    <t xml:space="preserve">iz/kku [kfut </t>
  </si>
  <si>
    <t>ih- ,y -</t>
  </si>
  <si>
    <t xml:space="preserve">Dokjh ykblsal </t>
  </si>
  <si>
    <t>,l- Vh- ih-</t>
  </si>
  <si>
    <t xml:space="preserve">odZ vkMZzj </t>
  </si>
  <si>
    <t xml:space="preserve">dqy ;ksx </t>
  </si>
  <si>
    <r>
      <t xml:space="preserve">vuqlwfor tu tkfr </t>
    </r>
    <r>
      <rPr>
        <b/>
        <sz val="16"/>
        <color indexed="8"/>
        <rFont val="Times New Roman"/>
        <family val="1"/>
      </rPr>
      <t>( S.T. )</t>
    </r>
  </si>
  <si>
    <r>
      <t xml:space="preserve">vuqlwfor tkfr     </t>
    </r>
    <r>
      <rPr>
        <b/>
        <sz val="16"/>
        <color indexed="8"/>
        <rFont val="Times New Roman"/>
        <family val="1"/>
      </rPr>
      <t>( S.C. )</t>
    </r>
    <r>
      <rPr>
        <b/>
        <sz val="16"/>
        <color indexed="8"/>
        <rFont val="Kruti Dev 010"/>
        <family val="0"/>
      </rPr>
      <t xml:space="preserve">    </t>
    </r>
  </si>
  <si>
    <r>
      <t xml:space="preserve">vU; fiNMk oxZ   </t>
    </r>
    <r>
      <rPr>
        <b/>
        <sz val="16"/>
        <color indexed="8"/>
        <rFont val="Times New Roman"/>
        <family val="1"/>
      </rPr>
      <t>( O.B.C )</t>
    </r>
  </si>
  <si>
    <t>dz-l-</t>
  </si>
  <si>
    <t>uke dk;kZy; @ o`Rr uke</t>
  </si>
  <si>
    <t>Major Leases</t>
  </si>
  <si>
    <t>Minor Leases</t>
  </si>
  <si>
    <t>Q.L.</t>
  </si>
  <si>
    <t>v</t>
  </si>
  <si>
    <t xml:space="preserve"> Hkjriqj o`Rr</t>
  </si>
  <si>
    <t>[k- v- vyoj</t>
  </si>
  <si>
    <t>[k-v- Hkjriqj</t>
  </si>
  <si>
    <t>[k-v- /kkSyiqj</t>
  </si>
  <si>
    <t>[k-v- djksyh</t>
  </si>
  <si>
    <t>c</t>
  </si>
  <si>
    <t>chdkusj o`Rr</t>
  </si>
  <si>
    <t>[k-v- chdkusj</t>
  </si>
  <si>
    <t>[k-v- ukxksj</t>
  </si>
  <si>
    <t>l-[k-v- xksVu</t>
  </si>
  <si>
    <t>l-[k-v- tSlyesj</t>
  </si>
  <si>
    <t>l-[k-v- Jhxaxkuxj</t>
  </si>
  <si>
    <t>l</t>
  </si>
  <si>
    <t>t;iqj o`Rr</t>
  </si>
  <si>
    <t>[k-v- vtesj</t>
  </si>
  <si>
    <t>[k-v- t;iqj</t>
  </si>
  <si>
    <t>[k-v- edjkuk</t>
  </si>
  <si>
    <t xml:space="preserve">[k-v- lhdj </t>
  </si>
  <si>
    <t>l-[k-v- dksViqryh</t>
  </si>
  <si>
    <t>l-[k-v- VkSd</t>
  </si>
  <si>
    <t>n</t>
  </si>
  <si>
    <t>dksVk o`Rr</t>
  </si>
  <si>
    <t>[k-v- dksVk</t>
  </si>
  <si>
    <t>[k-v- jkexateaMh</t>
  </si>
  <si>
    <t>[k-v- cwUnh  1</t>
  </si>
  <si>
    <t>[k-v- cwUnh  2</t>
  </si>
  <si>
    <t>l-[k-v- &gt;kykokM</t>
  </si>
  <si>
    <t>;</t>
  </si>
  <si>
    <t>tks/kiqj o`Rr</t>
  </si>
  <si>
    <t>[k-v- tks/kiqj</t>
  </si>
  <si>
    <t>[k-v- fljksgh</t>
  </si>
  <si>
    <t>l-[k-v- ckyslj</t>
  </si>
  <si>
    <t>l-[k-v- ckMesj</t>
  </si>
  <si>
    <t>l-[k-v- lkstrflaVh</t>
  </si>
  <si>
    <t>l-[k-v- tkyksj</t>
  </si>
  <si>
    <t>j</t>
  </si>
  <si>
    <t>HkhyokMk o`Rr</t>
  </si>
  <si>
    <t>[k-v- HkhyokMk</t>
  </si>
  <si>
    <t>[k-v- fctksfy;k</t>
  </si>
  <si>
    <t>[k-v- fpRrksMx&lt;</t>
  </si>
  <si>
    <t>l-[k-v- fuEckgsMk</t>
  </si>
  <si>
    <t xml:space="preserve">y </t>
  </si>
  <si>
    <t>mn;iqj o`Rr</t>
  </si>
  <si>
    <t>[k-v- mn;iqj</t>
  </si>
  <si>
    <t>[k-v- jktlean 1</t>
  </si>
  <si>
    <t>[k-v- jktlean 2</t>
  </si>
  <si>
    <t>[k-v- vkesV</t>
  </si>
  <si>
    <t>[k-v- izrkix&lt;</t>
  </si>
  <si>
    <t>l-[k-v- _"kHknso</t>
  </si>
  <si>
    <t>l-[k-v- lyqEcj</t>
  </si>
  <si>
    <t>l-[k-v- ckalokMk</t>
  </si>
  <si>
    <t>l-[k-v- Mwaxjiqj</t>
  </si>
  <si>
    <t>Grand Total</t>
  </si>
  <si>
    <t>(Lac`Rs.)</t>
  </si>
  <si>
    <t>Mineralwise Summary Report (Minor Minerals )</t>
  </si>
  <si>
    <t>Mineralwise Summary Report (Major Minerals )</t>
  </si>
  <si>
    <t>Murram/ Mitti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</si>
  <si>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</si>
  <si>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Quartzite/Silica</t>
  </si>
  <si>
    <t>White Clay/China Clay</t>
  </si>
  <si>
    <t>Ochres (Yellow)/ Fullers earth</t>
  </si>
  <si>
    <t xml:space="preserve"> Karauli</t>
  </si>
  <si>
    <t>(Lac'Tons)</t>
  </si>
  <si>
    <t>(Crore`Rs.)</t>
  </si>
  <si>
    <t>( Lac'Tons)</t>
  </si>
  <si>
    <t>(Crore 'Rs. )</t>
  </si>
  <si>
    <t>(Lac 'Rs. )</t>
  </si>
  <si>
    <t xml:space="preserve">Silver </t>
  </si>
  <si>
    <t>Pyrophylite</t>
  </si>
  <si>
    <t>(in Hec.)</t>
  </si>
  <si>
    <t xml:space="preserve">  Metallic Minerals</t>
  </si>
  <si>
    <t xml:space="preserve">  Other  Minerals</t>
  </si>
  <si>
    <t>Sand stone</t>
  </si>
  <si>
    <t xml:space="preserve">                                                                                                             </t>
  </si>
  <si>
    <t xml:space="preserve">                                                 </t>
  </si>
  <si>
    <t>Kharia Mitti</t>
  </si>
  <si>
    <t xml:space="preserve">o"kZ 2012&amp;13 es fnukad 31-3-13 dks izHkkoh [kfut fj;k;rksa dk fooj.k  </t>
  </si>
  <si>
    <t xml:space="preserve">fnukad 31-3-13 dks izHkkoh [kfut fj;k;rksa dh la[;k </t>
  </si>
  <si>
    <t>Financial Year 2012-13</t>
  </si>
  <si>
    <t xml:space="preserve">                    YEAR 2012-13                     </t>
  </si>
  <si>
    <t>F.Y. : 2012-13</t>
  </si>
  <si>
    <t xml:space="preserve">                    YEAR 2012-13                    </t>
  </si>
  <si>
    <t xml:space="preserve">YEAR 2012-13 </t>
  </si>
  <si>
    <t xml:space="preserve">F.Y. : 2012-13 </t>
  </si>
  <si>
    <t>YEAR 2012-13</t>
  </si>
  <si>
    <t>Laterite/ Red Ochre</t>
  </si>
  <si>
    <t>ME Amet</t>
  </si>
  <si>
    <t>Garnet (Abr.&amp; Crude)</t>
  </si>
  <si>
    <r>
      <t>Garnet</t>
    </r>
    <r>
      <rPr>
        <sz val="9"/>
        <color indexed="8"/>
        <rFont val="Times New Roman"/>
        <family val="1"/>
      </rPr>
      <t>(Abr.&amp; Crude)</t>
    </r>
  </si>
  <si>
    <r>
      <t>YEAR 2012-13</t>
    </r>
    <r>
      <rPr>
        <b/>
        <sz val="14"/>
        <color indexed="8"/>
        <rFont val="Courier New"/>
        <family val="3"/>
      </rPr>
      <t xml:space="preserve"> </t>
    </r>
  </si>
  <si>
    <t xml:space="preserve">Districtwise report (Minor Minerals) </t>
  </si>
  <si>
    <t xml:space="preserve">Districtwise report (Major Minerals) </t>
  </si>
  <si>
    <t>(Rs`)</t>
  </si>
  <si>
    <t>Officewise report (Major Minerals)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</si>
</sst>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dddd&quot;, &quot;mmmm\ dd&quot;, &quot;yyyy"/>
    <numFmt numFmtId="174" formatCode="0.000"/>
    <numFmt numFmtId="175" formatCode="_ * #,##0.00_ ;_ * \-#,##0.00_ ;_ * \-??_ ;_ @_ "/>
    <numFmt numFmtId="176" formatCode="_ * #,##0_ ;_ * \-#,##0_ ;_ * \-??_ ;_ @_ "/>
    <numFmt numFmtId="177" formatCode="0.0"/>
    <numFmt numFmtId="178" formatCode="0.0000"/>
    <numFmt numFmtId="179" formatCode="0.000000"/>
    <numFmt numFmtId="180" formatCode="0.00000"/>
    <numFmt numFmtId="181" formatCode="[$-409]dddd\,\ mmmm\ d\,\ yyyy"/>
    <numFmt numFmtId="182" formatCode="[$-409]h:mm:ss\ AM/PM"/>
  </numFmts>
  <fonts count="161"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22"/>
      <name val="Times New Roman"/>
      <family val="1"/>
    </font>
    <font>
      <i/>
      <sz val="16"/>
      <name val="Monotype Corsiva"/>
      <family val="4"/>
    </font>
    <font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Rupee Foradian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14"/>
      <name val="Courier New"/>
      <family val="3"/>
    </font>
    <font>
      <b/>
      <sz val="11"/>
      <name val="Arial"/>
      <family val="2"/>
    </font>
    <font>
      <sz val="12"/>
      <name val="Rupee Foradian"/>
      <family val="2"/>
    </font>
    <font>
      <sz val="11"/>
      <name val="Rupee Foradian"/>
      <family val="2"/>
    </font>
    <font>
      <sz val="12"/>
      <name val="Courier New"/>
      <family val="3"/>
    </font>
    <font>
      <sz val="12"/>
      <color indexed="63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Calibri"/>
      <family val="2"/>
    </font>
    <font>
      <sz val="14"/>
      <name val="Lucida Handwriting"/>
      <family val="4"/>
    </font>
    <font>
      <sz val="14"/>
      <name val="Kruti Dev 010"/>
      <family val="0"/>
    </font>
    <font>
      <sz val="15"/>
      <name val="Kruti Dev 010"/>
      <family val="0"/>
    </font>
    <font>
      <b/>
      <sz val="9"/>
      <name val="Arial"/>
      <family val="2"/>
    </font>
    <font>
      <sz val="12"/>
      <color indexed="8"/>
      <name val="Kruti Dev 010"/>
      <family val="0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16"/>
      <name val="Courier New"/>
      <family val="3"/>
    </font>
    <font>
      <sz val="18"/>
      <name val="Lucida Handwriting"/>
      <family val="4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ourier New"/>
      <family val="3"/>
    </font>
    <font>
      <sz val="16"/>
      <color indexed="36"/>
      <name val="Lucida Handwriting"/>
      <family val="4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Kruti Dev 010"/>
      <family val="0"/>
    </font>
    <font>
      <b/>
      <sz val="16"/>
      <color indexed="8"/>
      <name val="Kruti Dev 010"/>
      <family val="0"/>
    </font>
    <font>
      <b/>
      <sz val="24"/>
      <color indexed="8"/>
      <name val="Kruti Dev 010"/>
      <family val="0"/>
    </font>
    <font>
      <sz val="18"/>
      <color indexed="8"/>
      <name val="Kruti Dev 010"/>
      <family val="0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4"/>
      <name val="Kruti Dev 010"/>
      <family val="0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Arial Narrow"/>
      <family val="2"/>
    </font>
    <font>
      <sz val="24"/>
      <name val="Kruti Dev 010"/>
      <family val="0"/>
    </font>
    <font>
      <b/>
      <sz val="24"/>
      <name val="Arial Narrow"/>
      <family val="2"/>
    </font>
    <font>
      <b/>
      <sz val="24"/>
      <name val="Arial"/>
      <family val="2"/>
    </font>
    <font>
      <i/>
      <sz val="24"/>
      <name val="Monotype Corsiva"/>
      <family val="4"/>
    </font>
    <font>
      <b/>
      <i/>
      <sz val="24"/>
      <name val="Monotype Corsiva"/>
      <family val="4"/>
    </font>
    <font>
      <b/>
      <sz val="26"/>
      <name val="Times New Roman"/>
      <family val="1"/>
    </font>
    <font>
      <sz val="12"/>
      <color indexed="8"/>
      <name val="Times New Roman"/>
      <family val="1"/>
    </font>
    <font>
      <b/>
      <i/>
      <u val="single"/>
      <sz val="36"/>
      <color indexed="8"/>
      <name val="Times New Roman"/>
      <family val="1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i/>
      <sz val="12.5"/>
      <color indexed="8"/>
      <name val="Arial"/>
      <family val="2"/>
    </font>
    <font>
      <b/>
      <i/>
      <sz val="11"/>
      <color indexed="8"/>
      <name val="Arial"/>
      <family val="2"/>
    </font>
    <font>
      <b/>
      <sz val="28"/>
      <name val="Times New Roman"/>
      <family val="1"/>
    </font>
    <font>
      <b/>
      <sz val="19"/>
      <color indexed="8"/>
      <name val="Kruti Dev 010"/>
      <family val="0"/>
    </font>
    <font>
      <sz val="9"/>
      <color indexed="8"/>
      <name val="Times New Roman"/>
      <family val="1"/>
    </font>
    <font>
      <b/>
      <sz val="14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6"/>
      <color indexed="8"/>
      <name val="Monotype Corsiva"/>
      <family val="4"/>
    </font>
    <font>
      <sz val="14"/>
      <color indexed="8"/>
      <name val="Arial Narrow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Rupee Foradian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Lucida Handwriting"/>
      <family val="4"/>
    </font>
    <font>
      <sz val="14"/>
      <color indexed="8"/>
      <name val="Courier New"/>
      <family val="3"/>
    </font>
    <font>
      <b/>
      <sz val="14"/>
      <color indexed="8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6"/>
      <color theme="1"/>
      <name val="Monotype Corsiva"/>
      <family val="4"/>
    </font>
    <font>
      <sz val="14"/>
      <color theme="1"/>
      <name val="Arial Narrow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Rupee Foradian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Times New Roman"/>
      <family val="1"/>
    </font>
    <font>
      <b/>
      <sz val="14"/>
      <color theme="1"/>
      <name val="Lucida Handwriting"/>
      <family val="4"/>
    </font>
    <font>
      <sz val="14"/>
      <color theme="1"/>
      <name val="Courier New"/>
      <family val="3"/>
    </font>
    <font>
      <sz val="14"/>
      <color theme="1"/>
      <name val="Lucida Handwriting"/>
      <family val="4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175" fontId="0" fillId="0" borderId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30" borderId="1" applyNumberFormat="0" applyAlignment="0" applyProtection="0"/>
    <xf numFmtId="0" fontId="128" fillId="0" borderId="6" applyNumberFormat="0" applyFill="0" applyAlignment="0" applyProtection="0"/>
    <xf numFmtId="0" fontId="12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30" fillId="27" borderId="8" applyNumberFormat="0" applyAlignment="0" applyProtection="0"/>
    <xf numFmtId="9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0" applyNumberFormat="0" applyFill="0" applyBorder="0" applyAlignment="0" applyProtection="0"/>
  </cellStyleXfs>
  <cellXfs count="1194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2" fontId="4" fillId="0" borderId="0" xfId="60" applyNumberFormat="1" applyFont="1" applyFill="1">
      <alignment/>
      <protection/>
    </xf>
    <xf numFmtId="1" fontId="4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1" fillId="0" borderId="0" xfId="60" applyFill="1">
      <alignment/>
      <protection/>
    </xf>
    <xf numFmtId="0" fontId="2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2" fillId="0" borderId="0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1" fontId="4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right"/>
      <protection/>
    </xf>
    <xf numFmtId="2" fontId="12" fillId="0" borderId="10" xfId="60" applyNumberFormat="1" applyFont="1" applyFill="1" applyBorder="1">
      <alignment/>
      <protection/>
    </xf>
    <xf numFmtId="1" fontId="12" fillId="0" borderId="10" xfId="60" applyNumberFormat="1" applyFont="1" applyFill="1" applyBorder="1">
      <alignment/>
      <protection/>
    </xf>
    <xf numFmtId="0" fontId="12" fillId="0" borderId="10" xfId="60" applyFont="1" applyFill="1" applyBorder="1">
      <alignment/>
      <protection/>
    </xf>
    <xf numFmtId="0" fontId="12" fillId="0" borderId="10" xfId="60" applyFont="1" applyFill="1" applyBorder="1" applyAlignment="1">
      <alignment horizontal="right" vertical="center"/>
      <protection/>
    </xf>
    <xf numFmtId="2" fontId="12" fillId="0" borderId="10" xfId="60" applyNumberFormat="1" applyFont="1" applyFill="1" applyBorder="1" applyAlignment="1">
      <alignment vertical="center"/>
      <protection/>
    </xf>
    <xf numFmtId="1" fontId="12" fillId="0" borderId="10" xfId="60" applyNumberFormat="1" applyFont="1" applyFill="1" applyBorder="1" applyAlignment="1">
      <alignment vertical="center"/>
      <protection/>
    </xf>
    <xf numFmtId="0" fontId="2" fillId="0" borderId="11" xfId="60" applyFont="1" applyFill="1" applyBorder="1">
      <alignment/>
      <protection/>
    </xf>
    <xf numFmtId="0" fontId="14" fillId="0" borderId="10" xfId="60" applyFont="1" applyFill="1" applyBorder="1">
      <alignment/>
      <protection/>
    </xf>
    <xf numFmtId="1" fontId="14" fillId="0" borderId="10" xfId="60" applyNumberFormat="1" applyFont="1" applyFill="1" applyBorder="1">
      <alignment/>
      <protection/>
    </xf>
    <xf numFmtId="2" fontId="4" fillId="0" borderId="0" xfId="60" applyNumberFormat="1" applyFont="1" applyFill="1" applyBorder="1">
      <alignment/>
      <protection/>
    </xf>
    <xf numFmtId="174" fontId="12" fillId="0" borderId="10" xfId="60" applyNumberFormat="1" applyFont="1" applyFill="1" applyBorder="1">
      <alignment/>
      <protection/>
    </xf>
    <xf numFmtId="174" fontId="12" fillId="0" borderId="10" xfId="60" applyNumberFormat="1" applyFont="1" applyFill="1" applyBorder="1" applyAlignment="1">
      <alignment horizontal="right"/>
      <protection/>
    </xf>
    <xf numFmtId="3" fontId="12" fillId="0" borderId="10" xfId="60" applyNumberFormat="1" applyFont="1" applyFill="1" applyBorder="1" applyAlignment="1">
      <alignment horizontal="right"/>
      <protection/>
    </xf>
    <xf numFmtId="0" fontId="1" fillId="0" borderId="0" xfId="60" applyFill="1" applyBorder="1">
      <alignment/>
      <protection/>
    </xf>
    <xf numFmtId="0" fontId="12" fillId="0" borderId="10" xfId="60" applyNumberFormat="1" applyFont="1" applyFill="1" applyBorder="1" applyAlignment="1">
      <alignment horizontal="right"/>
      <protection/>
    </xf>
    <xf numFmtId="174" fontId="14" fillId="0" borderId="10" xfId="60" applyNumberFormat="1" applyFont="1" applyFill="1" applyBorder="1">
      <alignment/>
      <protection/>
    </xf>
    <xf numFmtId="0" fontId="2" fillId="0" borderId="12" xfId="60" applyFont="1" applyFill="1" applyBorder="1">
      <alignment/>
      <protection/>
    </xf>
    <xf numFmtId="0" fontId="12" fillId="0" borderId="10" xfId="60" applyFont="1" applyFill="1" applyBorder="1" applyAlignment="1">
      <alignment vertical="center"/>
      <protection/>
    </xf>
    <xf numFmtId="0" fontId="3" fillId="0" borderId="13" xfId="60" applyFont="1" applyFill="1" applyBorder="1">
      <alignment/>
      <protection/>
    </xf>
    <xf numFmtId="0" fontId="4" fillId="0" borderId="13" xfId="60" applyFont="1" applyFill="1" applyBorder="1">
      <alignment/>
      <protection/>
    </xf>
    <xf numFmtId="1" fontId="4" fillId="0" borderId="13" xfId="60" applyNumberFormat="1" applyFont="1" applyFill="1" applyBorder="1">
      <alignment/>
      <protection/>
    </xf>
    <xf numFmtId="174" fontId="12" fillId="0" borderId="10" xfId="60" applyNumberFormat="1" applyFont="1" applyFill="1" applyBorder="1" applyAlignment="1">
      <alignment horizontal="right" vertical="center"/>
      <protection/>
    </xf>
    <xf numFmtId="1" fontId="12" fillId="0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1" fontId="12" fillId="0" borderId="10" xfId="60" applyNumberFormat="1" applyFont="1" applyFill="1" applyBorder="1" applyAlignment="1">
      <alignment horizontal="center"/>
      <protection/>
    </xf>
    <xf numFmtId="1" fontId="12" fillId="0" borderId="10" xfId="60" applyNumberFormat="1" applyFont="1" applyFill="1" applyBorder="1" applyAlignment="1">
      <alignment horizontal="right"/>
      <protection/>
    </xf>
    <xf numFmtId="0" fontId="16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right"/>
      <protection/>
    </xf>
    <xf numFmtId="0" fontId="14" fillId="0" borderId="0" xfId="60" applyFont="1" applyFill="1" applyBorder="1">
      <alignment/>
      <protection/>
    </xf>
    <xf numFmtId="1" fontId="14" fillId="0" borderId="0" xfId="60" applyNumberFormat="1" applyFont="1" applyFill="1" applyBorder="1">
      <alignment/>
      <protection/>
    </xf>
    <xf numFmtId="0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174" fontId="12" fillId="0" borderId="10" xfId="0" applyNumberFormat="1" applyFont="1" applyBorder="1" applyAlignment="1">
      <alignment horizontal="right" vertical="center" wrapText="1"/>
    </xf>
    <xf numFmtId="0" fontId="12" fillId="0" borderId="10" xfId="60" applyNumberFormat="1" applyFont="1" applyFill="1" applyBorder="1" applyAlignment="1">
      <alignment horizontal="right" vertical="center" wrapText="1"/>
      <protection/>
    </xf>
    <xf numFmtId="2" fontId="12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5" fillId="0" borderId="10" xfId="60" applyNumberFormat="1" applyFont="1" applyFill="1" applyBorder="1">
      <alignment/>
      <protection/>
    </xf>
    <xf numFmtId="0" fontId="12" fillId="0" borderId="10" xfId="60" applyFont="1" applyFill="1" applyBorder="1" applyAlignment="1">
      <alignment/>
      <protection/>
    </xf>
    <xf numFmtId="174" fontId="12" fillId="0" borderId="10" xfId="60" applyNumberFormat="1" applyFont="1" applyFill="1" applyBorder="1" applyAlignment="1">
      <alignment/>
      <protection/>
    </xf>
    <xf numFmtId="1" fontId="12" fillId="0" borderId="10" xfId="60" applyNumberFormat="1" applyFont="1" applyFill="1" applyBorder="1" applyAlignment="1">
      <alignment/>
      <protection/>
    </xf>
    <xf numFmtId="176" fontId="12" fillId="0" borderId="10" xfId="42" applyNumberFormat="1" applyFont="1" applyFill="1" applyBorder="1" applyAlignment="1" applyProtection="1">
      <alignment/>
      <protection/>
    </xf>
    <xf numFmtId="1" fontId="1" fillId="0" borderId="0" xfId="60" applyNumberFormat="1" applyFill="1">
      <alignment/>
      <protection/>
    </xf>
    <xf numFmtId="0" fontId="17" fillId="0" borderId="0" xfId="60" applyFont="1" applyFill="1">
      <alignment/>
      <protection/>
    </xf>
    <xf numFmtId="0" fontId="2" fillId="0" borderId="10" xfId="60" applyFont="1" applyFill="1" applyBorder="1" applyAlignment="1">
      <alignment vertical="center"/>
      <protection/>
    </xf>
    <xf numFmtId="0" fontId="12" fillId="0" borderId="10" xfId="60" applyFont="1" applyFill="1" applyBorder="1" applyAlignment="1">
      <alignment horizontal="right" vertical="center" wrapText="1"/>
      <protection/>
    </xf>
    <xf numFmtId="0" fontId="18" fillId="0" borderId="10" xfId="60" applyFont="1" applyFill="1" applyBorder="1" applyAlignment="1">
      <alignment vertical="top" wrapText="1"/>
      <protection/>
    </xf>
    <xf numFmtId="0" fontId="3" fillId="0" borderId="0" xfId="60" applyNumberFormat="1" applyFont="1" applyFill="1" applyBorder="1" applyAlignment="1" applyProtection="1">
      <alignment/>
      <protection/>
    </xf>
    <xf numFmtId="174" fontId="14" fillId="0" borderId="0" xfId="60" applyNumberFormat="1" applyFont="1" applyFill="1" applyBorder="1">
      <alignment/>
      <protection/>
    </xf>
    <xf numFmtId="1" fontId="12" fillId="0" borderId="10" xfId="60" applyNumberFormat="1" applyFont="1" applyFill="1" applyBorder="1" applyAlignment="1">
      <alignment horizontal="right" vertical="center" wrapText="1"/>
      <protection/>
    </xf>
    <xf numFmtId="0" fontId="4" fillId="0" borderId="10" xfId="60" applyFont="1" applyFill="1" applyBorder="1">
      <alignment/>
      <protection/>
    </xf>
    <xf numFmtId="2" fontId="4" fillId="0" borderId="10" xfId="60" applyNumberFormat="1" applyFont="1" applyFill="1" applyBorder="1">
      <alignment/>
      <protection/>
    </xf>
    <xf numFmtId="1" fontId="4" fillId="0" borderId="10" xfId="60" applyNumberFormat="1" applyFont="1" applyFill="1" applyBorder="1">
      <alignment/>
      <protection/>
    </xf>
    <xf numFmtId="0" fontId="5" fillId="0" borderId="10" xfId="60" applyFont="1" applyFill="1" applyBorder="1">
      <alignment/>
      <protection/>
    </xf>
    <xf numFmtId="2" fontId="12" fillId="0" borderId="10" xfId="60" applyNumberFormat="1" applyFont="1" applyFill="1" applyBorder="1" applyAlignment="1">
      <alignment horizontal="right" vertical="center"/>
      <protection/>
    </xf>
    <xf numFmtId="1" fontId="3" fillId="0" borderId="10" xfId="60" applyNumberFormat="1" applyFont="1" applyFill="1" applyBorder="1" applyAlignment="1">
      <alignment horizontal="right" vertical="top" wrapText="1"/>
      <protection/>
    </xf>
    <xf numFmtId="1" fontId="4" fillId="0" borderId="10" xfId="60" applyNumberFormat="1" applyFont="1" applyFill="1" applyBorder="1" applyAlignment="1">
      <alignment horizontal="right"/>
      <protection/>
    </xf>
    <xf numFmtId="174" fontId="12" fillId="0" borderId="10" xfId="60" applyNumberFormat="1" applyFont="1" applyFill="1" applyBorder="1" applyAlignment="1">
      <alignment horizontal="right" vertical="center" wrapText="1"/>
      <protection/>
    </xf>
    <xf numFmtId="174" fontId="12" fillId="0" borderId="10" xfId="60" applyNumberFormat="1" applyFont="1" applyFill="1" applyBorder="1" applyAlignment="1">
      <alignment horizontal="right" vertical="top" wrapText="1"/>
      <protection/>
    </xf>
    <xf numFmtId="0" fontId="1" fillId="0" borderId="10" xfId="60" applyFont="1" applyFill="1" applyBorder="1">
      <alignment/>
      <protection/>
    </xf>
    <xf numFmtId="0" fontId="15" fillId="0" borderId="10" xfId="60" applyFont="1" applyFill="1" applyBorder="1">
      <alignment/>
      <protection/>
    </xf>
    <xf numFmtId="174" fontId="4" fillId="0" borderId="10" xfId="60" applyNumberFormat="1" applyFont="1" applyFill="1" applyBorder="1">
      <alignment/>
      <protection/>
    </xf>
    <xf numFmtId="1" fontId="5" fillId="0" borderId="10" xfId="60" applyNumberFormat="1" applyFont="1" applyFill="1" applyBorder="1" applyAlignment="1">
      <alignment horizontal="right"/>
      <protection/>
    </xf>
    <xf numFmtId="0" fontId="20" fillId="0" borderId="10" xfId="60" applyFont="1" applyFill="1" applyBorder="1" applyAlignment="1">
      <alignment horizontal="right" vertical="top" wrapText="1"/>
      <protection/>
    </xf>
    <xf numFmtId="0" fontId="5" fillId="0" borderId="10" xfId="60" applyFont="1" applyFill="1" applyBorder="1" applyAlignment="1">
      <alignment horizontal="right"/>
      <protection/>
    </xf>
    <xf numFmtId="0" fontId="19" fillId="0" borderId="10" xfId="60" applyFont="1" applyFill="1" applyBorder="1">
      <alignment/>
      <protection/>
    </xf>
    <xf numFmtId="2" fontId="5" fillId="0" borderId="10" xfId="60" applyNumberFormat="1" applyFont="1" applyFill="1" applyBorder="1">
      <alignment/>
      <protection/>
    </xf>
    <xf numFmtId="0" fontId="21" fillId="0" borderId="10" xfId="60" applyFont="1" applyFill="1" applyBorder="1" applyAlignment="1">
      <alignment vertical="center"/>
      <protection/>
    </xf>
    <xf numFmtId="0" fontId="12" fillId="0" borderId="10" xfId="60" applyFont="1" applyFill="1" applyBorder="1" applyAlignment="1">
      <alignment vertical="top" wrapText="1"/>
      <protection/>
    </xf>
    <xf numFmtId="0" fontId="21" fillId="0" borderId="10" xfId="60" applyFont="1" applyFill="1" applyBorder="1">
      <alignment/>
      <protection/>
    </xf>
    <xf numFmtId="0" fontId="18" fillId="0" borderId="10" xfId="60" applyFont="1" applyFill="1" applyBorder="1">
      <alignment/>
      <protection/>
    </xf>
    <xf numFmtId="1" fontId="3" fillId="0" borderId="10" xfId="60" applyNumberFormat="1" applyFont="1" applyFill="1" applyBorder="1">
      <alignment/>
      <protection/>
    </xf>
    <xf numFmtId="0" fontId="1" fillId="0" borderId="0" xfId="60" applyFont="1" applyFill="1" applyAlignment="1">
      <alignment horizontal="right"/>
      <protection/>
    </xf>
    <xf numFmtId="174" fontId="4" fillId="0" borderId="0" xfId="60" applyNumberFormat="1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1" fillId="0" borderId="13" xfId="60" applyFont="1" applyFill="1" applyBorder="1" applyAlignment="1">
      <alignment horizontal="right"/>
      <protection/>
    </xf>
    <xf numFmtId="174" fontId="23" fillId="0" borderId="13" xfId="60" applyNumberFormat="1" applyFont="1" applyFill="1" applyBorder="1">
      <alignment/>
      <protection/>
    </xf>
    <xf numFmtId="174" fontId="4" fillId="0" borderId="13" xfId="60" applyNumberFormat="1" applyFont="1" applyFill="1" applyBorder="1">
      <alignment/>
      <protection/>
    </xf>
    <xf numFmtId="0" fontId="3" fillId="0" borderId="13" xfId="60" applyFont="1" applyFill="1" applyBorder="1" applyAlignment="1">
      <alignment horizontal="right"/>
      <protection/>
    </xf>
    <xf numFmtId="0" fontId="11" fillId="33" borderId="10" xfId="60" applyFont="1" applyFill="1" applyBorder="1" applyAlignment="1">
      <alignment horizontal="right"/>
      <protection/>
    </xf>
    <xf numFmtId="0" fontId="11" fillId="33" borderId="10" xfId="60" applyFont="1" applyFill="1" applyBorder="1">
      <alignment/>
      <protection/>
    </xf>
    <xf numFmtId="174" fontId="11" fillId="33" borderId="10" xfId="60" applyNumberFormat="1" applyFont="1" applyFill="1" applyBorder="1">
      <alignment/>
      <protection/>
    </xf>
    <xf numFmtId="1" fontId="11" fillId="33" borderId="10" xfId="60" applyNumberFormat="1" applyFont="1" applyFill="1" applyBorder="1">
      <alignment/>
      <protection/>
    </xf>
    <xf numFmtId="0" fontId="1" fillId="33" borderId="11" xfId="60" applyFont="1" applyFill="1" applyBorder="1" applyAlignment="1">
      <alignment horizontal="right"/>
      <protection/>
    </xf>
    <xf numFmtId="0" fontId="3" fillId="33" borderId="10" xfId="60" applyFont="1" applyFill="1" applyBorder="1">
      <alignment/>
      <protection/>
    </xf>
    <xf numFmtId="0" fontId="4" fillId="33" borderId="10" xfId="60" applyFont="1" applyFill="1" applyBorder="1" applyAlignment="1">
      <alignment horizontal="left" vertical="center" wrapText="1"/>
      <protection/>
    </xf>
    <xf numFmtId="174" fontId="4" fillId="33" borderId="10" xfId="60" applyNumberFormat="1" applyFont="1" applyFill="1" applyBorder="1" applyAlignment="1">
      <alignment horizontal="center" vertical="center"/>
      <protection/>
    </xf>
    <xf numFmtId="174" fontId="24" fillId="33" borderId="10" xfId="60" applyNumberFormat="1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right" vertical="center"/>
      <protection/>
    </xf>
    <xf numFmtId="1" fontId="25" fillId="33" borderId="10" xfId="60" applyNumberFormat="1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right"/>
      <protection/>
    </xf>
    <xf numFmtId="0" fontId="1" fillId="0" borderId="10" xfId="60" applyFont="1" applyFill="1" applyBorder="1" applyAlignment="1">
      <alignment horizontal="right"/>
      <protection/>
    </xf>
    <xf numFmtId="0" fontId="1" fillId="33" borderId="10" xfId="60" applyFont="1" applyFill="1" applyBorder="1" applyAlignment="1">
      <alignment horizontal="right"/>
      <protection/>
    </xf>
    <xf numFmtId="0" fontId="18" fillId="33" borderId="10" xfId="60" applyFont="1" applyFill="1" applyBorder="1">
      <alignment/>
      <protection/>
    </xf>
    <xf numFmtId="0" fontId="14" fillId="33" borderId="10" xfId="60" applyFont="1" applyFill="1" applyBorder="1">
      <alignment/>
      <protection/>
    </xf>
    <xf numFmtId="174" fontId="14" fillId="33" borderId="10" xfId="60" applyNumberFormat="1" applyFont="1" applyFill="1" applyBorder="1">
      <alignment/>
      <protection/>
    </xf>
    <xf numFmtId="1" fontId="14" fillId="33" borderId="10" xfId="60" applyNumberFormat="1" applyFont="1" applyFill="1" applyBorder="1">
      <alignment/>
      <protection/>
    </xf>
    <xf numFmtId="0" fontId="3" fillId="33" borderId="10" xfId="60" applyFont="1" applyFill="1" applyBorder="1" applyAlignment="1">
      <alignment horizontal="right"/>
      <protection/>
    </xf>
    <xf numFmtId="0" fontId="1" fillId="0" borderId="0" xfId="60" applyFont="1" applyFill="1" applyBorder="1" applyAlignment="1">
      <alignment horizontal="right"/>
      <protection/>
    </xf>
    <xf numFmtId="0" fontId="18" fillId="0" borderId="0" xfId="60" applyFont="1" applyFill="1" applyBorder="1">
      <alignment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174" fontId="23" fillId="0" borderId="0" xfId="60" applyNumberFormat="1" applyFont="1" applyFill="1" applyBorder="1">
      <alignment/>
      <protection/>
    </xf>
    <xf numFmtId="174" fontId="4" fillId="0" borderId="0" xfId="60" applyNumberFormat="1" applyFont="1" applyFill="1" applyBorder="1">
      <alignment/>
      <protection/>
    </xf>
    <xf numFmtId="0" fontId="1" fillId="33" borderId="15" xfId="60" applyFont="1" applyFill="1" applyBorder="1" applyAlignment="1">
      <alignment horizontal="right"/>
      <protection/>
    </xf>
    <xf numFmtId="0" fontId="3" fillId="33" borderId="15" xfId="60" applyFont="1" applyFill="1" applyBorder="1">
      <alignment/>
      <protection/>
    </xf>
    <xf numFmtId="174" fontId="3" fillId="33" borderId="15" xfId="60" applyNumberFormat="1" applyFont="1" applyFill="1" applyBorder="1">
      <alignment/>
      <protection/>
    </xf>
    <xf numFmtId="1" fontId="25" fillId="33" borderId="15" xfId="60" applyNumberFormat="1" applyFont="1" applyFill="1" applyBorder="1" applyAlignment="1">
      <alignment horizontal="center"/>
      <protection/>
    </xf>
    <xf numFmtId="0" fontId="3" fillId="33" borderId="15" xfId="60" applyFont="1" applyFill="1" applyBorder="1" applyAlignment="1">
      <alignment horizontal="right"/>
      <protection/>
    </xf>
    <xf numFmtId="174" fontId="12" fillId="0" borderId="10" xfId="60" applyNumberFormat="1" applyFont="1" applyFill="1" applyBorder="1" applyAlignment="1">
      <alignment horizontal="center" vertical="center"/>
      <protection/>
    </xf>
    <xf numFmtId="0" fontId="1" fillId="33" borderId="14" xfId="60" applyFont="1" applyFill="1" applyBorder="1" applyAlignment="1">
      <alignment horizontal="right"/>
      <protection/>
    </xf>
    <xf numFmtId="0" fontId="18" fillId="33" borderId="14" xfId="60" applyFont="1" applyFill="1" applyBorder="1">
      <alignment/>
      <protection/>
    </xf>
    <xf numFmtId="174" fontId="18" fillId="33" borderId="14" xfId="60" applyNumberFormat="1" applyFont="1" applyFill="1" applyBorder="1">
      <alignment/>
      <protection/>
    </xf>
    <xf numFmtId="1" fontId="18" fillId="33" borderId="14" xfId="60" applyNumberFormat="1" applyFont="1" applyFill="1" applyBorder="1">
      <alignment/>
      <protection/>
    </xf>
    <xf numFmtId="0" fontId="3" fillId="33" borderId="14" xfId="60" applyFont="1" applyFill="1" applyBorder="1" applyAlignment="1">
      <alignment horizontal="right"/>
      <protection/>
    </xf>
    <xf numFmtId="174" fontId="14" fillId="0" borderId="13" xfId="60" applyNumberFormat="1" applyFont="1" applyFill="1" applyBorder="1">
      <alignment/>
      <protection/>
    </xf>
    <xf numFmtId="0" fontId="1" fillId="0" borderId="10" xfId="60" applyFont="1" applyFill="1" applyBorder="1" applyAlignment="1">
      <alignment horizontal="right" vertical="center"/>
      <protection/>
    </xf>
    <xf numFmtId="0" fontId="12" fillId="0" borderId="12" xfId="60" applyFont="1" applyFill="1" applyBorder="1">
      <alignment/>
      <protection/>
    </xf>
    <xf numFmtId="0" fontId="1" fillId="0" borderId="0" xfId="60" applyFont="1" applyAlignment="1">
      <alignment horizontal="right"/>
      <protection/>
    </xf>
    <xf numFmtId="0" fontId="1" fillId="0" borderId="0" xfId="60">
      <alignment/>
      <protection/>
    </xf>
    <xf numFmtId="174" fontId="1" fillId="0" borderId="0" xfId="60" applyNumberFormat="1">
      <alignment/>
      <protection/>
    </xf>
    <xf numFmtId="1" fontId="1" fillId="0" borderId="0" xfId="60" applyNumberFormat="1">
      <alignment/>
      <protection/>
    </xf>
    <xf numFmtId="0" fontId="3" fillId="0" borderId="0" xfId="60" applyFont="1" applyAlignment="1">
      <alignment horizontal="right"/>
      <protection/>
    </xf>
    <xf numFmtId="0" fontId="1" fillId="33" borderId="0" xfId="60" applyFont="1" applyFill="1" applyAlignment="1">
      <alignment horizontal="right"/>
      <protection/>
    </xf>
    <xf numFmtId="0" fontId="3" fillId="33" borderId="0" xfId="60" applyFont="1" applyFill="1" applyBorder="1" applyAlignment="1">
      <alignment/>
      <protection/>
    </xf>
    <xf numFmtId="0" fontId="26" fillId="33" borderId="0" xfId="60" applyFont="1" applyFill="1" applyBorder="1" applyAlignment="1">
      <alignment/>
      <protection/>
    </xf>
    <xf numFmtId="174" fontId="14" fillId="33" borderId="0" xfId="60" applyNumberFormat="1" applyFont="1" applyFill="1" applyBorder="1">
      <alignment/>
      <protection/>
    </xf>
    <xf numFmtId="174" fontId="26" fillId="33" borderId="0" xfId="60" applyNumberFormat="1" applyFont="1" applyFill="1" applyBorder="1" applyAlignment="1">
      <alignment/>
      <protection/>
    </xf>
    <xf numFmtId="1" fontId="26" fillId="33" borderId="0" xfId="60" applyNumberFormat="1" applyFont="1" applyFill="1" applyBorder="1" applyAlignment="1">
      <alignment/>
      <protection/>
    </xf>
    <xf numFmtId="0" fontId="3" fillId="33" borderId="0" xfId="60" applyFont="1" applyFill="1" applyBorder="1" applyAlignment="1">
      <alignment horizontal="right"/>
      <protection/>
    </xf>
    <xf numFmtId="174" fontId="18" fillId="33" borderId="10" xfId="60" applyNumberFormat="1" applyFont="1" applyFill="1" applyBorder="1">
      <alignment/>
      <protection/>
    </xf>
    <xf numFmtId="1" fontId="18" fillId="33" borderId="10" xfId="60" applyNumberFormat="1" applyFont="1" applyFill="1" applyBorder="1">
      <alignment/>
      <protection/>
    </xf>
    <xf numFmtId="0" fontId="1" fillId="0" borderId="16" xfId="60" applyFont="1" applyFill="1" applyBorder="1" applyAlignment="1">
      <alignment horizontal="right"/>
      <protection/>
    </xf>
    <xf numFmtId="0" fontId="3" fillId="0" borderId="16" xfId="60" applyFont="1" applyFill="1" applyBorder="1">
      <alignment/>
      <protection/>
    </xf>
    <xf numFmtId="0" fontId="4" fillId="0" borderId="16" xfId="60" applyFont="1" applyFill="1" applyBorder="1">
      <alignment/>
      <protection/>
    </xf>
    <xf numFmtId="174" fontId="4" fillId="0" borderId="16" xfId="60" applyNumberFormat="1" applyFont="1" applyFill="1" applyBorder="1">
      <alignment/>
      <protection/>
    </xf>
    <xf numFmtId="1" fontId="4" fillId="0" borderId="16" xfId="60" applyNumberFormat="1" applyFont="1" applyFill="1" applyBorder="1">
      <alignment/>
      <protection/>
    </xf>
    <xf numFmtId="0" fontId="3" fillId="0" borderId="16" xfId="60" applyFont="1" applyFill="1" applyBorder="1" applyAlignment="1">
      <alignment horizontal="right"/>
      <protection/>
    </xf>
    <xf numFmtId="0" fontId="18" fillId="33" borderId="15" xfId="60" applyFont="1" applyFill="1" applyBorder="1">
      <alignment/>
      <protection/>
    </xf>
    <xf numFmtId="0" fontId="14" fillId="33" borderId="15" xfId="60" applyFont="1" applyFill="1" applyBorder="1">
      <alignment/>
      <protection/>
    </xf>
    <xf numFmtId="174" fontId="14" fillId="33" borderId="15" xfId="60" applyNumberFormat="1" applyFont="1" applyFill="1" applyBorder="1">
      <alignment/>
      <protection/>
    </xf>
    <xf numFmtId="1" fontId="14" fillId="33" borderId="15" xfId="60" applyNumberFormat="1" applyFont="1" applyFill="1" applyBorder="1">
      <alignment/>
      <protection/>
    </xf>
    <xf numFmtId="0" fontId="2" fillId="33" borderId="11" xfId="60" applyFont="1" applyFill="1" applyBorder="1" applyAlignment="1">
      <alignment horizontal="right"/>
      <protection/>
    </xf>
    <xf numFmtId="0" fontId="2" fillId="33" borderId="10" xfId="60" applyFont="1" applyFill="1" applyBorder="1">
      <alignment/>
      <protection/>
    </xf>
    <xf numFmtId="0" fontId="2" fillId="33" borderId="10" xfId="60" applyFont="1" applyFill="1" applyBorder="1" applyAlignment="1">
      <alignment horizontal="left" vertical="center" wrapText="1"/>
      <protection/>
    </xf>
    <xf numFmtId="174" fontId="2" fillId="33" borderId="10" xfId="60" applyNumberFormat="1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right" vertical="center"/>
      <protection/>
    </xf>
    <xf numFmtId="0" fontId="1" fillId="0" borderId="10" xfId="60" applyFont="1" applyFill="1" applyBorder="1" applyAlignment="1">
      <alignment horizontal="right" vertical="top" wrapText="1"/>
      <protection/>
    </xf>
    <xf numFmtId="0" fontId="17" fillId="33" borderId="11" xfId="60" applyFont="1" applyFill="1" applyBorder="1" applyAlignment="1">
      <alignment horizontal="right"/>
      <protection/>
    </xf>
    <xf numFmtId="0" fontId="17" fillId="33" borderId="10" xfId="60" applyFont="1" applyFill="1" applyBorder="1" applyAlignment="1">
      <alignment horizontal="left" vertical="center" wrapText="1"/>
      <protection/>
    </xf>
    <xf numFmtId="174" fontId="17" fillId="33" borderId="10" xfId="60" applyNumberFormat="1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1" fillId="0" borderId="0" xfId="60" applyFont="1" applyFill="1">
      <alignment/>
      <protection/>
    </xf>
    <xf numFmtId="174" fontId="3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horizontal="right"/>
      <protection/>
    </xf>
    <xf numFmtId="174" fontId="3" fillId="33" borderId="10" xfId="60" applyNumberFormat="1" applyFont="1" applyFill="1" applyBorder="1">
      <alignment/>
      <protection/>
    </xf>
    <xf numFmtId="1" fontId="25" fillId="33" borderId="10" xfId="60" applyNumberFormat="1" applyFont="1" applyFill="1" applyBorder="1" applyAlignment="1">
      <alignment horizontal="center"/>
      <protection/>
    </xf>
    <xf numFmtId="1" fontId="3" fillId="33" borderId="15" xfId="60" applyNumberFormat="1" applyFont="1" applyFill="1" applyBorder="1" applyAlignment="1">
      <alignment horizontal="right"/>
      <protection/>
    </xf>
    <xf numFmtId="0" fontId="1" fillId="33" borderId="10" xfId="60" applyFont="1" applyFill="1" applyBorder="1" applyAlignment="1">
      <alignment horizontal="center"/>
      <protection/>
    </xf>
    <xf numFmtId="0" fontId="3" fillId="33" borderId="10" xfId="60" applyFont="1" applyFill="1" applyBorder="1" applyAlignment="1">
      <alignment horizontal="center"/>
      <protection/>
    </xf>
    <xf numFmtId="174" fontId="3" fillId="33" borderId="10" xfId="60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60" applyFont="1" applyFill="1" applyBorder="1" applyAlignment="1">
      <alignment horizontal="center"/>
      <protection/>
    </xf>
    <xf numFmtId="0" fontId="1" fillId="0" borderId="15" xfId="60" applyFont="1" applyFill="1" applyBorder="1" applyAlignment="1">
      <alignment horizontal="right" vertical="top" wrapText="1"/>
      <protection/>
    </xf>
    <xf numFmtId="0" fontId="12" fillId="0" borderId="15" xfId="60" applyFont="1" applyFill="1" applyBorder="1">
      <alignment/>
      <protection/>
    </xf>
    <xf numFmtId="174" fontId="12" fillId="0" borderId="15" xfId="60" applyNumberFormat="1" applyFont="1" applyFill="1" applyBorder="1" applyAlignment="1">
      <alignment horizontal="right" vertical="center"/>
      <protection/>
    </xf>
    <xf numFmtId="1" fontId="12" fillId="0" borderId="15" xfId="60" applyNumberFormat="1" applyFont="1" applyFill="1" applyBorder="1" applyAlignment="1">
      <alignment horizontal="right" vertical="center"/>
      <protection/>
    </xf>
    <xf numFmtId="1" fontId="12" fillId="0" borderId="15" xfId="60" applyNumberFormat="1" applyFont="1" applyFill="1" applyBorder="1">
      <alignment/>
      <protection/>
    </xf>
    <xf numFmtId="1" fontId="23" fillId="33" borderId="15" xfId="60" applyNumberFormat="1" applyFont="1" applyFill="1" applyBorder="1">
      <alignment/>
      <protection/>
    </xf>
    <xf numFmtId="0" fontId="15" fillId="0" borderId="10" xfId="60" applyFont="1" applyFill="1" applyBorder="1" applyAlignment="1">
      <alignment horizontal="right"/>
      <protection/>
    </xf>
    <xf numFmtId="174" fontId="15" fillId="33" borderId="15" xfId="60" applyNumberFormat="1" applyFont="1" applyFill="1" applyBorder="1">
      <alignment/>
      <protection/>
    </xf>
    <xf numFmtId="1" fontId="15" fillId="33" borderId="15" xfId="60" applyNumberFormat="1" applyFont="1" applyFill="1" applyBorder="1">
      <alignment/>
      <protection/>
    </xf>
    <xf numFmtId="174" fontId="3" fillId="0" borderId="0" xfId="60" applyNumberFormat="1" applyFont="1" applyFill="1" applyAlignment="1">
      <alignment horizontal="right"/>
      <protection/>
    </xf>
    <xf numFmtId="174" fontId="15" fillId="33" borderId="10" xfId="60" applyNumberFormat="1" applyFont="1" applyFill="1" applyBorder="1">
      <alignment/>
      <protection/>
    </xf>
    <xf numFmtId="1" fontId="15" fillId="33" borderId="10" xfId="60" applyNumberFormat="1" applyFont="1" applyFill="1" applyBorder="1">
      <alignment/>
      <protection/>
    </xf>
    <xf numFmtId="1" fontId="23" fillId="33" borderId="10" xfId="60" applyNumberFormat="1" applyFont="1" applyFill="1" applyBorder="1">
      <alignment/>
      <protection/>
    </xf>
    <xf numFmtId="174" fontId="23" fillId="33" borderId="10" xfId="60" applyNumberFormat="1" applyFont="1" applyFill="1" applyBorder="1">
      <alignment/>
      <protection/>
    </xf>
    <xf numFmtId="174" fontId="1" fillId="0" borderId="0" xfId="60" applyNumberFormat="1" applyFill="1">
      <alignment/>
      <protection/>
    </xf>
    <xf numFmtId="0" fontId="1" fillId="0" borderId="15" xfId="60" applyFont="1" applyFill="1" applyBorder="1" applyAlignment="1">
      <alignment horizontal="right" vertical="center"/>
      <protection/>
    </xf>
    <xf numFmtId="0" fontId="12" fillId="33" borderId="10" xfId="60" applyFont="1" applyFill="1" applyBorder="1">
      <alignment/>
      <protection/>
    </xf>
    <xf numFmtId="174" fontId="12" fillId="33" borderId="10" xfId="60" applyNumberFormat="1" applyFont="1" applyFill="1" applyBorder="1" applyAlignment="1">
      <alignment horizontal="right" vertical="center"/>
      <protection/>
    </xf>
    <xf numFmtId="1" fontId="12" fillId="33" borderId="10" xfId="60" applyNumberFormat="1" applyFont="1" applyFill="1" applyBorder="1" applyAlignment="1">
      <alignment horizontal="right" vertical="center"/>
      <protection/>
    </xf>
    <xf numFmtId="1" fontId="12" fillId="33" borderId="10" xfId="60" applyNumberFormat="1" applyFont="1" applyFill="1" applyBorder="1">
      <alignment/>
      <protection/>
    </xf>
    <xf numFmtId="174" fontId="11" fillId="33" borderId="10" xfId="60" applyNumberFormat="1" applyFont="1" applyFill="1" applyBorder="1" applyAlignment="1">
      <alignment horizontal="right" vertical="center"/>
      <protection/>
    </xf>
    <xf numFmtId="1" fontId="11" fillId="33" borderId="10" xfId="60" applyNumberFormat="1" applyFont="1" applyFill="1" applyBorder="1" applyAlignment="1">
      <alignment horizontal="right" vertical="center"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14" fillId="33" borderId="12" xfId="60" applyFont="1" applyFill="1" applyBorder="1">
      <alignment/>
      <protection/>
    </xf>
    <xf numFmtId="174" fontId="14" fillId="33" borderId="12" xfId="60" applyNumberFormat="1" applyFont="1" applyFill="1" applyBorder="1">
      <alignment/>
      <protection/>
    </xf>
    <xf numFmtId="1" fontId="14" fillId="33" borderId="12" xfId="60" applyNumberFormat="1" applyFont="1" applyFill="1" applyBorder="1">
      <alignment/>
      <protection/>
    </xf>
    <xf numFmtId="1" fontId="14" fillId="33" borderId="12" xfId="60" applyNumberFormat="1" applyFont="1" applyFill="1" applyBorder="1" applyAlignment="1">
      <alignment horizontal="right"/>
      <protection/>
    </xf>
    <xf numFmtId="0" fontId="3" fillId="33" borderId="12" xfId="60" applyFont="1" applyFill="1" applyBorder="1" applyAlignment="1">
      <alignment horizontal="right"/>
      <protection/>
    </xf>
    <xf numFmtId="0" fontId="27" fillId="0" borderId="10" xfId="60" applyFont="1" applyFill="1" applyBorder="1">
      <alignment/>
      <protection/>
    </xf>
    <xf numFmtId="2" fontId="14" fillId="33" borderId="15" xfId="60" applyNumberFormat="1" applyFont="1" applyFill="1" applyBorder="1">
      <alignment/>
      <protection/>
    </xf>
    <xf numFmtId="1" fontId="3" fillId="0" borderId="13" xfId="60" applyNumberFormat="1" applyFont="1" applyFill="1" applyBorder="1" applyAlignment="1">
      <alignment horizontal="right"/>
      <protection/>
    </xf>
    <xf numFmtId="0" fontId="1" fillId="0" borderId="10" xfId="60" applyFont="1" applyFill="1" applyBorder="1" applyAlignment="1">
      <alignment horizontal="right" vertical="center" wrapText="1"/>
      <protection/>
    </xf>
    <xf numFmtId="0" fontId="1" fillId="33" borderId="17" xfId="60" applyFont="1" applyFill="1" applyBorder="1" applyAlignment="1">
      <alignment horizontal="right"/>
      <protection/>
    </xf>
    <xf numFmtId="0" fontId="4" fillId="33" borderId="15" xfId="60" applyFont="1" applyFill="1" applyBorder="1" applyAlignment="1">
      <alignment horizontal="left" vertical="center" wrapText="1"/>
      <protection/>
    </xf>
    <xf numFmtId="174" fontId="4" fillId="33" borderId="15" xfId="60" applyNumberFormat="1" applyFont="1" applyFill="1" applyBorder="1" applyAlignment="1">
      <alignment horizontal="center" vertical="center"/>
      <protection/>
    </xf>
    <xf numFmtId="1" fontId="25" fillId="33" borderId="15" xfId="60" applyNumberFormat="1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right" vertical="center"/>
      <protection/>
    </xf>
    <xf numFmtId="0" fontId="12" fillId="0" borderId="15" xfId="60" applyFont="1" applyFill="1" applyBorder="1" applyAlignment="1">
      <alignment horizontal="right"/>
      <protection/>
    </xf>
    <xf numFmtId="174" fontId="12" fillId="0" borderId="15" xfId="60" applyNumberFormat="1" applyFont="1" applyFill="1" applyBorder="1" applyAlignment="1">
      <alignment horizontal="right"/>
      <protection/>
    </xf>
    <xf numFmtId="1" fontId="12" fillId="0" borderId="15" xfId="60" applyNumberFormat="1" applyFont="1" applyFill="1" applyBorder="1" applyAlignment="1">
      <alignment horizontal="right"/>
      <protection/>
    </xf>
    <xf numFmtId="0" fontId="15" fillId="33" borderId="15" xfId="60" applyFont="1" applyFill="1" applyBorder="1" applyAlignment="1">
      <alignment horizontal="right"/>
      <protection/>
    </xf>
    <xf numFmtId="174" fontId="15" fillId="33" borderId="15" xfId="60" applyNumberFormat="1" applyFont="1" applyFill="1" applyBorder="1" applyAlignment="1">
      <alignment horizontal="right"/>
      <protection/>
    </xf>
    <xf numFmtId="1" fontId="23" fillId="33" borderId="15" xfId="60" applyNumberFormat="1" applyFont="1" applyFill="1" applyBorder="1" applyAlignment="1">
      <alignment horizontal="right"/>
      <protection/>
    </xf>
    <xf numFmtId="174" fontId="12" fillId="0" borderId="15" xfId="60" applyNumberFormat="1" applyFont="1" applyFill="1" applyBorder="1">
      <alignment/>
      <protection/>
    </xf>
    <xf numFmtId="0" fontId="28" fillId="33" borderId="10" xfId="60" applyFont="1" applyFill="1" applyBorder="1" applyAlignment="1">
      <alignment horizontal="right" vertical="center"/>
      <protection/>
    </xf>
    <xf numFmtId="0" fontId="29" fillId="33" borderId="10" xfId="60" applyFont="1" applyFill="1" applyBorder="1" applyAlignment="1">
      <alignment vertical="center"/>
      <protection/>
    </xf>
    <xf numFmtId="1" fontId="30" fillId="33" borderId="10" xfId="60" applyNumberFormat="1" applyFont="1" applyFill="1" applyBorder="1" applyAlignment="1">
      <alignment vertical="center"/>
      <protection/>
    </xf>
    <xf numFmtId="174" fontId="30" fillId="33" borderId="10" xfId="60" applyNumberFormat="1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29" fillId="0" borderId="0" xfId="60" applyFont="1" applyFill="1" applyAlignment="1">
      <alignment vertical="center"/>
      <protection/>
    </xf>
    <xf numFmtId="0" fontId="11" fillId="33" borderId="10" xfId="60" applyFont="1" applyFill="1" applyBorder="1" applyAlignment="1">
      <alignment horizontal="right" wrapText="1"/>
      <protection/>
    </xf>
    <xf numFmtId="174" fontId="11" fillId="33" borderId="10" xfId="60" applyNumberFormat="1" applyFont="1" applyFill="1" applyBorder="1" applyAlignment="1">
      <alignment horizontal="right" wrapText="1"/>
      <protection/>
    </xf>
    <xf numFmtId="1" fontId="11" fillId="33" borderId="10" xfId="60" applyNumberFormat="1" applyFont="1" applyFill="1" applyBorder="1" applyAlignment="1">
      <alignment horizontal="right" wrapText="1"/>
      <protection/>
    </xf>
    <xf numFmtId="0" fontId="10" fillId="33" borderId="10" xfId="60" applyFont="1" applyFill="1" applyBorder="1" applyAlignment="1">
      <alignment horizontal="right"/>
      <protection/>
    </xf>
    <xf numFmtId="0" fontId="12" fillId="33" borderId="10" xfId="60" applyFont="1" applyFill="1" applyBorder="1" applyAlignment="1">
      <alignment horizontal="right" wrapText="1"/>
      <protection/>
    </xf>
    <xf numFmtId="174" fontId="12" fillId="33" borderId="10" xfId="60" applyNumberFormat="1" applyFont="1" applyFill="1" applyBorder="1" applyAlignment="1">
      <alignment horizontal="right"/>
      <protection/>
    </xf>
    <xf numFmtId="1" fontId="12" fillId="33" borderId="10" xfId="60" applyNumberFormat="1" applyFont="1" applyFill="1" applyBorder="1" applyAlignment="1">
      <alignment horizontal="right"/>
      <protection/>
    </xf>
    <xf numFmtId="0" fontId="12" fillId="33" borderId="10" xfId="60" applyFont="1" applyFill="1" applyBorder="1" applyAlignment="1">
      <alignment horizontal="right"/>
      <protection/>
    </xf>
    <xf numFmtId="2" fontId="19" fillId="0" borderId="10" xfId="60" applyNumberFormat="1" applyFont="1" applyFill="1" applyBorder="1">
      <alignment/>
      <protection/>
    </xf>
    <xf numFmtId="0" fontId="15" fillId="33" borderId="12" xfId="60" applyFont="1" applyFill="1" applyBorder="1" applyAlignment="1">
      <alignment horizontal="center" vertical="center" wrapText="1"/>
      <protection/>
    </xf>
    <xf numFmtId="0" fontId="11" fillId="33" borderId="14" xfId="60" applyFont="1" applyFill="1" applyBorder="1" applyAlignment="1">
      <alignment vertical="center"/>
      <protection/>
    </xf>
    <xf numFmtId="0" fontId="12" fillId="33" borderId="15" xfId="60" applyFont="1" applyFill="1" applyBorder="1" applyAlignment="1">
      <alignment horizontal="right" wrapText="1"/>
      <protection/>
    </xf>
    <xf numFmtId="174" fontId="12" fillId="33" borderId="15" xfId="60" applyNumberFormat="1" applyFont="1" applyFill="1" applyBorder="1" applyAlignment="1">
      <alignment horizontal="right"/>
      <protection/>
    </xf>
    <xf numFmtId="1" fontId="12" fillId="33" borderId="15" xfId="60" applyNumberFormat="1" applyFont="1" applyFill="1" applyBorder="1" applyAlignment="1">
      <alignment horizontal="right"/>
      <protection/>
    </xf>
    <xf numFmtId="0" fontId="12" fillId="33" borderId="15" xfId="60" applyFont="1" applyFill="1" applyBorder="1" applyAlignment="1">
      <alignment horizontal="right"/>
      <protection/>
    </xf>
    <xf numFmtId="2" fontId="19" fillId="0" borderId="10" xfId="60" applyNumberFormat="1" applyFont="1" applyFill="1" applyBorder="1" applyAlignment="1">
      <alignment horizontal="left"/>
      <protection/>
    </xf>
    <xf numFmtId="0" fontId="15" fillId="33" borderId="10" xfId="60" applyFont="1" applyFill="1" applyBorder="1" applyAlignment="1">
      <alignment horizontal="right"/>
      <protection/>
    </xf>
    <xf numFmtId="1" fontId="18" fillId="33" borderId="10" xfId="60" applyNumberFormat="1" applyFont="1" applyFill="1" applyBorder="1" applyAlignment="1">
      <alignment horizontal="right"/>
      <protection/>
    </xf>
    <xf numFmtId="0" fontId="11" fillId="0" borderId="0" xfId="60" applyFont="1" applyFill="1" applyBorder="1">
      <alignment/>
      <protection/>
    </xf>
    <xf numFmtId="174" fontId="11" fillId="0" borderId="0" xfId="60" applyNumberFormat="1" applyFont="1" applyFill="1" applyBorder="1">
      <alignment/>
      <protection/>
    </xf>
    <xf numFmtId="1" fontId="11" fillId="0" borderId="0" xfId="60" applyNumberFormat="1" applyFont="1" applyFill="1" applyBorder="1">
      <alignment/>
      <protection/>
    </xf>
    <xf numFmtId="0" fontId="12" fillId="0" borderId="0" xfId="60" applyFont="1" applyFill="1" applyBorder="1">
      <alignment/>
      <protection/>
    </xf>
    <xf numFmtId="174" fontId="12" fillId="0" borderId="0" xfId="60" applyNumberFormat="1" applyFont="1" applyFill="1" applyBorder="1" applyAlignment="1">
      <alignment horizontal="right" vertical="center"/>
      <protection/>
    </xf>
    <xf numFmtId="1" fontId="12" fillId="0" borderId="0" xfId="60" applyNumberFormat="1" applyFont="1" applyFill="1" applyBorder="1">
      <alignment/>
      <protection/>
    </xf>
    <xf numFmtId="0" fontId="12" fillId="0" borderId="0" xfId="60" applyFont="1" applyFill="1" applyBorder="1" applyAlignment="1">
      <alignment horizontal="right"/>
      <protection/>
    </xf>
    <xf numFmtId="0" fontId="2" fillId="0" borderId="15" xfId="60" applyFont="1" applyFill="1" applyBorder="1">
      <alignment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1" fontId="12" fillId="0" borderId="0" xfId="60" applyNumberFormat="1" applyFont="1" applyFill="1" applyBorder="1" applyAlignment="1">
      <alignment horizontal="right" vertical="center"/>
      <protection/>
    </xf>
    <xf numFmtId="0" fontId="35" fillId="0" borderId="0" xfId="60" applyFont="1" applyFill="1" applyBorder="1" applyAlignment="1">
      <alignment horizontal="right"/>
      <protection/>
    </xf>
    <xf numFmtId="0" fontId="10" fillId="0" borderId="0" xfId="60" applyFont="1" applyFill="1" applyBorder="1">
      <alignment/>
      <protection/>
    </xf>
    <xf numFmtId="174" fontId="10" fillId="0" borderId="0" xfId="60" applyNumberFormat="1" applyFont="1" applyFill="1" applyBorder="1">
      <alignment/>
      <protection/>
    </xf>
    <xf numFmtId="1" fontId="10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16" xfId="60" applyFont="1" applyFill="1" applyBorder="1">
      <alignment/>
      <protection/>
    </xf>
    <xf numFmtId="0" fontId="35" fillId="0" borderId="16" xfId="60" applyFont="1" applyFill="1" applyBorder="1">
      <alignment/>
      <protection/>
    </xf>
    <xf numFmtId="1" fontId="38" fillId="0" borderId="16" xfId="60" applyNumberFormat="1" applyFont="1" applyFill="1" applyBorder="1">
      <alignment/>
      <protection/>
    </xf>
    <xf numFmtId="1" fontId="35" fillId="0" borderId="16" xfId="60" applyNumberFormat="1" applyFont="1" applyFill="1" applyBorder="1">
      <alignment/>
      <protection/>
    </xf>
    <xf numFmtId="0" fontId="15" fillId="0" borderId="0" xfId="60" applyFont="1" applyFill="1" applyBorder="1" applyAlignment="1">
      <alignment horizontal="right"/>
      <protection/>
    </xf>
    <xf numFmtId="0" fontId="34" fillId="0" borderId="10" xfId="60" applyFont="1" applyFill="1" applyBorder="1" applyAlignment="1">
      <alignment horizontal="center" wrapText="1"/>
      <protection/>
    </xf>
    <xf numFmtId="0" fontId="23" fillId="0" borderId="10" xfId="60" applyFont="1" applyFill="1" applyBorder="1">
      <alignment/>
      <protection/>
    </xf>
    <xf numFmtId="0" fontId="3" fillId="0" borderId="15" xfId="60" applyFont="1" applyFill="1" applyBorder="1">
      <alignment/>
      <protection/>
    </xf>
    <xf numFmtId="1" fontId="12" fillId="0" borderId="0" xfId="60" applyNumberFormat="1" applyFont="1" applyFill="1" applyBorder="1" applyAlignment="1">
      <alignment horizontal="right"/>
      <protection/>
    </xf>
    <xf numFmtId="0" fontId="1" fillId="0" borderId="0" xfId="60" applyFont="1" applyFill="1" applyBorder="1">
      <alignment/>
      <protection/>
    </xf>
    <xf numFmtId="1" fontId="12" fillId="0" borderId="11" xfId="60" applyNumberFormat="1" applyFont="1" applyFill="1" applyBorder="1">
      <alignment/>
      <protection/>
    </xf>
    <xf numFmtId="2" fontId="3" fillId="0" borderId="10" xfId="60" applyNumberFormat="1" applyFont="1" applyFill="1" applyBorder="1">
      <alignment/>
      <protection/>
    </xf>
    <xf numFmtId="2" fontId="3" fillId="0" borderId="10" xfId="60" applyNumberFormat="1" applyFont="1" applyFill="1" applyBorder="1" applyAlignment="1">
      <alignment horizontal="left"/>
      <protection/>
    </xf>
    <xf numFmtId="0" fontId="2" fillId="34" borderId="10" xfId="60" applyFont="1" applyFill="1" applyBorder="1">
      <alignment/>
      <protection/>
    </xf>
    <xf numFmtId="0" fontId="3" fillId="34" borderId="10" xfId="60" applyFont="1" applyFill="1" applyBorder="1" applyAlignment="1">
      <alignment vertical="top" wrapText="1"/>
      <protection/>
    </xf>
    <xf numFmtId="0" fontId="12" fillId="34" borderId="10" xfId="60" applyFont="1" applyFill="1" applyBorder="1" applyAlignment="1">
      <alignment horizontal="right"/>
      <protection/>
    </xf>
    <xf numFmtId="0" fontId="2" fillId="34" borderId="10" xfId="60" applyFont="1" applyFill="1" applyBorder="1" applyAlignment="1">
      <alignment vertical="center"/>
      <protection/>
    </xf>
    <xf numFmtId="0" fontId="2" fillId="0" borderId="15" xfId="60" applyFont="1" applyFill="1" applyBorder="1" applyAlignment="1">
      <alignment vertical="center"/>
      <protection/>
    </xf>
    <xf numFmtId="0" fontId="2" fillId="0" borderId="16" xfId="60" applyFont="1" applyFill="1" applyBorder="1" applyAlignment="1">
      <alignment vertical="center"/>
      <protection/>
    </xf>
    <xf numFmtId="0" fontId="1" fillId="0" borderId="16" xfId="60" applyBorder="1">
      <alignment/>
      <protection/>
    </xf>
    <xf numFmtId="0" fontId="12" fillId="0" borderId="16" xfId="60" applyFont="1" applyFill="1" applyBorder="1">
      <alignment/>
      <protection/>
    </xf>
    <xf numFmtId="174" fontId="12" fillId="0" borderId="16" xfId="60" applyNumberFormat="1" applyFont="1" applyFill="1" applyBorder="1">
      <alignment/>
      <protection/>
    </xf>
    <xf numFmtId="1" fontId="12" fillId="0" borderId="16" xfId="60" applyNumberFormat="1" applyFont="1" applyFill="1" applyBorder="1">
      <alignment/>
      <protection/>
    </xf>
    <xf numFmtId="174" fontId="12" fillId="34" borderId="10" xfId="60" applyNumberFormat="1" applyFont="1" applyFill="1" applyBorder="1">
      <alignment/>
      <protection/>
    </xf>
    <xf numFmtId="1" fontId="12" fillId="34" borderId="10" xfId="60" applyNumberFormat="1" applyFont="1" applyFill="1" applyBorder="1">
      <alignment/>
      <protection/>
    </xf>
    <xf numFmtId="0" fontId="12" fillId="34" borderId="10" xfId="60" applyFont="1" applyFill="1" applyBorder="1">
      <alignment/>
      <protection/>
    </xf>
    <xf numFmtId="1" fontId="12" fillId="34" borderId="10" xfId="60" applyNumberFormat="1" applyFont="1" applyFill="1" applyBorder="1" applyAlignment="1">
      <alignment horizontal="right" vertical="center"/>
      <protection/>
    </xf>
    <xf numFmtId="0" fontId="12" fillId="34" borderId="10" xfId="60" applyNumberFormat="1" applyFont="1" applyFill="1" applyBorder="1">
      <alignment/>
      <protection/>
    </xf>
    <xf numFmtId="0" fontId="1" fillId="0" borderId="16" xfId="60" applyFill="1" applyBorder="1">
      <alignment/>
      <protection/>
    </xf>
    <xf numFmtId="0" fontId="5" fillId="0" borderId="10" xfId="60" applyFont="1" applyFill="1" applyBorder="1" applyAlignment="1">
      <alignment vertical="center"/>
      <protection/>
    </xf>
    <xf numFmtId="0" fontId="21" fillId="0" borderId="18" xfId="60" applyFont="1" applyFill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2" fontId="3" fillId="0" borderId="0" xfId="60" applyNumberFormat="1" applyFont="1" applyFill="1" applyBorder="1">
      <alignment/>
      <protection/>
    </xf>
    <xf numFmtId="0" fontId="1" fillId="0" borderId="15" xfId="60" applyFill="1" applyBorder="1">
      <alignment/>
      <protection/>
    </xf>
    <xf numFmtId="2" fontId="3" fillId="0" borderId="13" xfId="60" applyNumberFormat="1" applyFont="1" applyFill="1" applyBorder="1">
      <alignment/>
      <protection/>
    </xf>
    <xf numFmtId="1" fontId="3" fillId="0" borderId="15" xfId="60" applyNumberFormat="1" applyFont="1" applyFill="1" applyBorder="1">
      <alignment/>
      <protection/>
    </xf>
    <xf numFmtId="1" fontId="3" fillId="0" borderId="10" xfId="60" applyNumberFormat="1" applyFont="1" applyFill="1" applyBorder="1" applyAlignment="1">
      <alignment horizontal="right"/>
      <protection/>
    </xf>
    <xf numFmtId="2" fontId="3" fillId="0" borderId="13" xfId="60" applyNumberFormat="1" applyFont="1" applyFill="1" applyBorder="1" applyAlignment="1">
      <alignment horizontal="left"/>
      <protection/>
    </xf>
    <xf numFmtId="2" fontId="3" fillId="0" borderId="19" xfId="60" applyNumberFormat="1" applyFont="1" applyFill="1" applyBorder="1">
      <alignment/>
      <protection/>
    </xf>
    <xf numFmtId="0" fontId="0" fillId="0" borderId="0" xfId="0" applyBorder="1" applyAlignment="1">
      <alignment/>
    </xf>
    <xf numFmtId="0" fontId="12" fillId="0" borderId="20" xfId="60" applyFont="1" applyFill="1" applyBorder="1">
      <alignment/>
      <protection/>
    </xf>
    <xf numFmtId="0" fontId="12" fillId="0" borderId="21" xfId="60" applyFont="1" applyFill="1" applyBorder="1">
      <alignment/>
      <protection/>
    </xf>
    <xf numFmtId="0" fontId="1" fillId="0" borderId="22" xfId="60" applyFont="1" applyFill="1" applyBorder="1" applyAlignment="1">
      <alignment horizontal="right" vertical="center"/>
      <protection/>
    </xf>
    <xf numFmtId="0" fontId="12" fillId="0" borderId="22" xfId="60" applyFont="1" applyFill="1" applyBorder="1">
      <alignment/>
      <protection/>
    </xf>
    <xf numFmtId="0" fontId="1" fillId="0" borderId="22" xfId="60" applyFill="1" applyBorder="1">
      <alignment/>
      <protection/>
    </xf>
    <xf numFmtId="0" fontId="3" fillId="33" borderId="22" xfId="60" applyFont="1" applyFill="1" applyBorder="1" applyAlignment="1">
      <alignment horizontal="right" vertical="center"/>
      <protection/>
    </xf>
    <xf numFmtId="1" fontId="12" fillId="0" borderId="22" xfId="60" applyNumberFormat="1" applyFont="1" applyFill="1" applyBorder="1">
      <alignment/>
      <protection/>
    </xf>
    <xf numFmtId="1" fontId="12" fillId="35" borderId="10" xfId="0" applyNumberFormat="1" applyFont="1" applyFill="1" applyBorder="1" applyAlignment="1">
      <alignment horizontal="right"/>
    </xf>
    <xf numFmtId="2" fontId="12" fillId="35" borderId="10" xfId="0" applyNumberFormat="1" applyFont="1" applyFill="1" applyBorder="1" applyAlignment="1">
      <alignment horizontal="right"/>
    </xf>
    <xf numFmtId="1" fontId="12" fillId="35" borderId="10" xfId="60" applyNumberFormat="1" applyFont="1" applyFill="1" applyBorder="1" applyAlignment="1">
      <alignment horizontal="right" vertical="center"/>
      <protection/>
    </xf>
    <xf numFmtId="0" fontId="12" fillId="35" borderId="10" xfId="60" applyFont="1" applyFill="1" applyBorder="1">
      <alignment/>
      <protection/>
    </xf>
    <xf numFmtId="1" fontId="12" fillId="35" borderId="10" xfId="60" applyNumberFormat="1" applyFont="1" applyFill="1" applyBorder="1">
      <alignment/>
      <protection/>
    </xf>
    <xf numFmtId="1" fontId="12" fillId="36" borderId="10" xfId="60" applyNumberFormat="1" applyFont="1" applyFill="1" applyBorder="1">
      <alignment/>
      <protection/>
    </xf>
    <xf numFmtId="174" fontId="12" fillId="35" borderId="10" xfId="60" applyNumberFormat="1" applyFont="1" applyFill="1" applyBorder="1" applyAlignment="1">
      <alignment horizontal="right" vertical="center"/>
      <protection/>
    </xf>
    <xf numFmtId="174" fontId="12" fillId="0" borderId="11" xfId="60" applyNumberFormat="1" applyFont="1" applyFill="1" applyBorder="1" applyAlignment="1">
      <alignment horizontal="right" vertical="top" wrapText="1"/>
      <protection/>
    </xf>
    <xf numFmtId="0" fontId="12" fillId="0" borderId="20" xfId="60" applyFont="1" applyFill="1" applyBorder="1" applyAlignment="1">
      <alignment horizontal="right" vertical="center" wrapText="1"/>
      <protection/>
    </xf>
    <xf numFmtId="0" fontId="12" fillId="0" borderId="22" xfId="60" applyFont="1" applyFill="1" applyBorder="1" applyAlignment="1">
      <alignment horizontal="right" vertical="center" wrapText="1"/>
      <protection/>
    </xf>
    <xf numFmtId="1" fontId="4" fillId="0" borderId="22" xfId="60" applyNumberFormat="1" applyFont="1" applyFill="1" applyBorder="1">
      <alignment/>
      <protection/>
    </xf>
    <xf numFmtId="0" fontId="2" fillId="35" borderId="10" xfId="60" applyFont="1" applyFill="1" applyBorder="1">
      <alignment/>
      <protection/>
    </xf>
    <xf numFmtId="0" fontId="3" fillId="35" borderId="10" xfId="60" applyFont="1" applyFill="1" applyBorder="1" applyAlignment="1">
      <alignment vertical="top" wrapText="1"/>
      <protection/>
    </xf>
    <xf numFmtId="0" fontId="12" fillId="35" borderId="10" xfId="60" applyFont="1" applyFill="1" applyBorder="1" applyAlignment="1">
      <alignment horizontal="right" vertical="center"/>
      <protection/>
    </xf>
    <xf numFmtId="1" fontId="12" fillId="35" borderId="10" xfId="60" applyNumberFormat="1" applyFont="1" applyFill="1" applyBorder="1" applyAlignment="1">
      <alignment horizontal="right"/>
      <protection/>
    </xf>
    <xf numFmtId="174" fontId="12" fillId="0" borderId="12" xfId="60" applyNumberFormat="1" applyFont="1" applyFill="1" applyBorder="1" applyAlignment="1">
      <alignment horizontal="right" vertical="center"/>
      <protection/>
    </xf>
    <xf numFmtId="1" fontId="12" fillId="0" borderId="12" xfId="60" applyNumberFormat="1" applyFont="1" applyFill="1" applyBorder="1" applyAlignment="1">
      <alignment horizontal="right" vertical="center"/>
      <protection/>
    </xf>
    <xf numFmtId="1" fontId="12" fillId="0" borderId="12" xfId="60" applyNumberFormat="1" applyFont="1" applyFill="1" applyBorder="1">
      <alignment/>
      <protection/>
    </xf>
    <xf numFmtId="1" fontId="5" fillId="37" borderId="10" xfId="60" applyNumberFormat="1" applyFont="1" applyFill="1" applyBorder="1" applyAlignment="1">
      <alignment horizontal="right"/>
      <protection/>
    </xf>
    <xf numFmtId="1" fontId="5" fillId="36" borderId="10" xfId="60" applyNumberFormat="1" applyFont="1" applyFill="1" applyBorder="1" applyAlignment="1">
      <alignment horizontal="right"/>
      <protection/>
    </xf>
    <xf numFmtId="0" fontId="4" fillId="35" borderId="10" xfId="60" applyFont="1" applyFill="1" applyBorder="1">
      <alignment/>
      <protection/>
    </xf>
    <xf numFmtId="174" fontId="4" fillId="35" borderId="10" xfId="60" applyNumberFormat="1" applyFont="1" applyFill="1" applyBorder="1">
      <alignment/>
      <protection/>
    </xf>
    <xf numFmtId="1" fontId="4" fillId="35" borderId="10" xfId="60" applyNumberFormat="1" applyFont="1" applyFill="1" applyBorder="1">
      <alignment/>
      <protection/>
    </xf>
    <xf numFmtId="174" fontId="12" fillId="0" borderId="11" xfId="60" applyNumberFormat="1" applyFont="1" applyFill="1" applyBorder="1">
      <alignment/>
      <protection/>
    </xf>
    <xf numFmtId="1" fontId="12" fillId="0" borderId="20" xfId="60" applyNumberFormat="1" applyFont="1" applyFill="1" applyBorder="1" applyAlignment="1">
      <alignment horizontal="right" vertical="center"/>
      <protection/>
    </xf>
    <xf numFmtId="1" fontId="12" fillId="0" borderId="22" xfId="60" applyNumberFormat="1" applyFont="1" applyFill="1" applyBorder="1" applyAlignment="1">
      <alignment horizontal="right" vertical="center"/>
      <protection/>
    </xf>
    <xf numFmtId="174" fontId="4" fillId="0" borderId="22" xfId="60" applyNumberFormat="1" applyFont="1" applyFill="1" applyBorder="1">
      <alignment/>
      <protection/>
    </xf>
    <xf numFmtId="1" fontId="12" fillId="36" borderId="10" xfId="60" applyNumberFormat="1" applyFont="1" applyFill="1" applyBorder="1" applyAlignment="1">
      <alignment horizontal="right" vertical="center"/>
      <protection/>
    </xf>
    <xf numFmtId="1" fontId="12" fillId="0" borderId="11" xfId="60" applyNumberFormat="1" applyFont="1" applyFill="1" applyBorder="1" applyAlignment="1">
      <alignment horizontal="right" vertical="center" wrapText="1"/>
      <protection/>
    </xf>
    <xf numFmtId="1" fontId="12" fillId="0" borderId="14" xfId="60" applyNumberFormat="1" applyFont="1" applyFill="1" applyBorder="1">
      <alignment/>
      <protection/>
    </xf>
    <xf numFmtId="0" fontId="12" fillId="0" borderId="14" xfId="60" applyFont="1" applyFill="1" applyBorder="1">
      <alignment/>
      <protection/>
    </xf>
    <xf numFmtId="1" fontId="12" fillId="0" borderId="22" xfId="60" applyNumberFormat="1" applyFont="1" applyFill="1" applyBorder="1" applyAlignment="1">
      <alignment horizontal="right" vertical="center" wrapText="1"/>
      <protection/>
    </xf>
    <xf numFmtId="0" fontId="12" fillId="0" borderId="22" xfId="60" applyFont="1" applyFill="1" applyBorder="1" applyAlignment="1">
      <alignment horizontal="right" vertical="center"/>
      <protection/>
    </xf>
    <xf numFmtId="0" fontId="12" fillId="0" borderId="11" xfId="60" applyFont="1" applyFill="1" applyBorder="1">
      <alignment/>
      <protection/>
    </xf>
    <xf numFmtId="0" fontId="11" fillId="0" borderId="10" xfId="60" applyFont="1" applyFill="1" applyBorder="1" applyAlignment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1" fontId="12" fillId="0" borderId="20" xfId="60" applyNumberFormat="1" applyFont="1" applyFill="1" applyBorder="1">
      <alignment/>
      <protection/>
    </xf>
    <xf numFmtId="0" fontId="12" fillId="0" borderId="14" xfId="60" applyFont="1" applyFill="1" applyBorder="1" applyAlignment="1">
      <alignment/>
      <protection/>
    </xf>
    <xf numFmtId="0" fontId="12" fillId="0" borderId="22" xfId="60" applyFont="1" applyFill="1" applyBorder="1" applyAlignment="1">
      <alignment/>
      <protection/>
    </xf>
    <xf numFmtId="0" fontId="12" fillId="0" borderId="22" xfId="60" applyFont="1" applyFill="1" applyBorder="1" applyAlignment="1">
      <alignment vertical="top" wrapText="1"/>
      <protection/>
    </xf>
    <xf numFmtId="1" fontId="12" fillId="0" borderId="21" xfId="60" applyNumberFormat="1" applyFont="1" applyFill="1" applyBorder="1" applyAlignment="1">
      <alignment horizontal="right"/>
      <protection/>
    </xf>
    <xf numFmtId="1" fontId="12" fillId="0" borderId="20" xfId="60" applyNumberFormat="1" applyFont="1" applyFill="1" applyBorder="1" applyAlignment="1">
      <alignment horizontal="right"/>
      <protection/>
    </xf>
    <xf numFmtId="0" fontId="1" fillId="33" borderId="0" xfId="60" applyFont="1" applyFill="1" applyBorder="1" applyAlignment="1">
      <alignment horizontal="right"/>
      <protection/>
    </xf>
    <xf numFmtId="0" fontId="18" fillId="33" borderId="0" xfId="60" applyFont="1" applyFill="1" applyBorder="1">
      <alignment/>
      <protection/>
    </xf>
    <xf numFmtId="0" fontId="14" fillId="33" borderId="0" xfId="60" applyFont="1" applyFill="1" applyBorder="1">
      <alignment/>
      <protection/>
    </xf>
    <xf numFmtId="1" fontId="14" fillId="33" borderId="0" xfId="60" applyNumberFormat="1" applyFont="1" applyFill="1" applyBorder="1">
      <alignment/>
      <protection/>
    </xf>
    <xf numFmtId="0" fontId="12" fillId="0" borderId="22" xfId="60" applyFont="1" applyFill="1" applyBorder="1" applyAlignment="1">
      <alignment horizontal="left" vertical="center" wrapText="1"/>
      <protection/>
    </xf>
    <xf numFmtId="0" fontId="2" fillId="0" borderId="22" xfId="60" applyFont="1" applyFill="1" applyBorder="1">
      <alignment/>
      <protection/>
    </xf>
    <xf numFmtId="0" fontId="21" fillId="0" borderId="22" xfId="60" applyFont="1" applyFill="1" applyBorder="1">
      <alignment/>
      <protection/>
    </xf>
    <xf numFmtId="1" fontId="21" fillId="0" borderId="22" xfId="60" applyNumberFormat="1" applyFont="1" applyFill="1" applyBorder="1">
      <alignment/>
      <protection/>
    </xf>
    <xf numFmtId="0" fontId="1" fillId="0" borderId="22" xfId="60" applyFont="1" applyFill="1" applyBorder="1">
      <alignment/>
      <protection/>
    </xf>
    <xf numFmtId="0" fontId="3" fillId="0" borderId="22" xfId="60" applyFont="1" applyFill="1" applyBorder="1" applyAlignment="1">
      <alignment vertical="top" wrapText="1"/>
      <protection/>
    </xf>
    <xf numFmtId="0" fontId="12" fillId="0" borderId="22" xfId="60" applyFont="1" applyFill="1" applyBorder="1" applyAlignment="1">
      <alignment horizontal="right"/>
      <protection/>
    </xf>
    <xf numFmtId="0" fontId="3" fillId="0" borderId="22" xfId="60" applyFont="1" applyFill="1" applyBorder="1">
      <alignment/>
      <protection/>
    </xf>
    <xf numFmtId="0" fontId="12" fillId="0" borderId="22" xfId="60" applyFont="1" applyFill="1" applyBorder="1" applyAlignment="1">
      <alignment horizontal="center" vertical="center"/>
      <protection/>
    </xf>
    <xf numFmtId="0" fontId="13" fillId="0" borderId="22" xfId="60" applyFont="1" applyFill="1" applyBorder="1" applyAlignment="1">
      <alignment horizontal="center" vertical="center"/>
      <protection/>
    </xf>
    <xf numFmtId="0" fontId="12" fillId="0" borderId="22" xfId="60" applyFont="1" applyFill="1" applyBorder="1" applyAlignment="1">
      <alignment vertical="center"/>
      <protection/>
    </xf>
    <xf numFmtId="0" fontId="12" fillId="0" borderId="23" xfId="60" applyFont="1" applyFill="1" applyBorder="1" applyAlignment="1">
      <alignment horizontal="right" vertical="center" wrapText="1"/>
      <protection/>
    </xf>
    <xf numFmtId="1" fontId="12" fillId="0" borderId="11" xfId="60" applyNumberFormat="1" applyFont="1" applyFill="1" applyBorder="1" applyAlignment="1">
      <alignment horizontal="right"/>
      <protection/>
    </xf>
    <xf numFmtId="0" fontId="3" fillId="0" borderId="11" xfId="60" applyFont="1" applyFill="1" applyBorder="1" applyAlignment="1">
      <alignment vertical="top" wrapText="1"/>
      <protection/>
    </xf>
    <xf numFmtId="174" fontId="12" fillId="0" borderId="22" xfId="60" applyNumberFormat="1" applyFont="1" applyFill="1" applyBorder="1" applyAlignment="1">
      <alignment horizontal="right"/>
      <protection/>
    </xf>
    <xf numFmtId="1" fontId="12" fillId="0" borderId="22" xfId="60" applyNumberFormat="1" applyFont="1" applyFill="1" applyBorder="1" applyAlignment="1">
      <alignment horizontal="right"/>
      <protection/>
    </xf>
    <xf numFmtId="0" fontId="4" fillId="0" borderId="22" xfId="60" applyFont="1" applyFill="1" applyBorder="1">
      <alignment/>
      <protection/>
    </xf>
    <xf numFmtId="2" fontId="4" fillId="0" borderId="22" xfId="60" applyNumberFormat="1" applyFont="1" applyFill="1" applyBorder="1">
      <alignment/>
      <protection/>
    </xf>
    <xf numFmtId="0" fontId="5" fillId="0" borderId="22" xfId="60" applyFont="1" applyFill="1" applyBorder="1">
      <alignment/>
      <protection/>
    </xf>
    <xf numFmtId="0" fontId="18" fillId="33" borderId="10" xfId="60" applyFont="1" applyFill="1" applyBorder="1" applyAlignment="1">
      <alignment horizontal="right"/>
      <protection/>
    </xf>
    <xf numFmtId="0" fontId="12" fillId="36" borderId="10" xfId="60" applyFont="1" applyFill="1" applyBorder="1">
      <alignment/>
      <protection/>
    </xf>
    <xf numFmtId="174" fontId="12" fillId="36" borderId="10" xfId="60" applyNumberFormat="1" applyFont="1" applyFill="1" applyBorder="1" applyAlignment="1">
      <alignment horizontal="right" vertical="center"/>
      <protection/>
    </xf>
    <xf numFmtId="1" fontId="12" fillId="38" borderId="10" xfId="60" applyNumberFormat="1" applyFont="1" applyFill="1" applyBorder="1">
      <alignment/>
      <protection/>
    </xf>
    <xf numFmtId="0" fontId="11" fillId="33" borderId="20" xfId="60" applyFont="1" applyFill="1" applyBorder="1">
      <alignment/>
      <protection/>
    </xf>
    <xf numFmtId="0" fontId="1" fillId="33" borderId="18" xfId="60" applyFont="1" applyFill="1" applyBorder="1" applyAlignment="1">
      <alignment horizontal="right"/>
      <protection/>
    </xf>
    <xf numFmtId="0" fontId="3" fillId="33" borderId="14" xfId="60" applyFont="1" applyFill="1" applyBorder="1">
      <alignment/>
      <protection/>
    </xf>
    <xf numFmtId="0" fontId="11" fillId="33" borderId="22" xfId="60" applyFont="1" applyFill="1" applyBorder="1" applyAlignment="1">
      <alignment horizontal="right"/>
      <protection/>
    </xf>
    <xf numFmtId="0" fontId="11" fillId="33" borderId="22" xfId="60" applyFont="1" applyFill="1" applyBorder="1">
      <alignment/>
      <protection/>
    </xf>
    <xf numFmtId="174" fontId="4" fillId="36" borderId="0" xfId="60" applyNumberFormat="1" applyFont="1" applyFill="1">
      <alignment/>
      <protection/>
    </xf>
    <xf numFmtId="174" fontId="12" fillId="36" borderId="10" xfId="60" applyNumberFormat="1" applyFont="1" applyFill="1" applyBorder="1">
      <alignment/>
      <protection/>
    </xf>
    <xf numFmtId="0" fontId="12" fillId="36" borderId="10" xfId="60" applyFont="1" applyFill="1" applyBorder="1" applyAlignment="1">
      <alignment horizontal="right"/>
      <protection/>
    </xf>
    <xf numFmtId="0" fontId="3" fillId="0" borderId="20" xfId="60" applyFont="1" applyFill="1" applyBorder="1">
      <alignment/>
      <protection/>
    </xf>
    <xf numFmtId="0" fontId="3" fillId="0" borderId="21" xfId="60" applyFont="1" applyFill="1" applyBorder="1">
      <alignment/>
      <protection/>
    </xf>
    <xf numFmtId="1" fontId="3" fillId="0" borderId="20" xfId="60" applyNumberFormat="1" applyFont="1" applyFill="1" applyBorder="1">
      <alignment/>
      <protection/>
    </xf>
    <xf numFmtId="0" fontId="3" fillId="0" borderId="20" xfId="60" applyFont="1" applyFill="1" applyBorder="1" applyAlignment="1">
      <alignment horizontal="right"/>
      <protection/>
    </xf>
    <xf numFmtId="0" fontId="1" fillId="0" borderId="12" xfId="60" applyFill="1" applyBorder="1">
      <alignment/>
      <protection/>
    </xf>
    <xf numFmtId="2" fontId="3" fillId="0" borderId="22" xfId="60" applyNumberFormat="1" applyFont="1" applyFill="1" applyBorder="1">
      <alignment/>
      <protection/>
    </xf>
    <xf numFmtId="0" fontId="19" fillId="0" borderId="0" xfId="60" applyFont="1" applyFill="1" applyBorder="1">
      <alignment/>
      <protection/>
    </xf>
    <xf numFmtId="1" fontId="19" fillId="0" borderId="0" xfId="60" applyNumberFormat="1" applyFont="1" applyFill="1" applyBorder="1">
      <alignment/>
      <protection/>
    </xf>
    <xf numFmtId="0" fontId="1" fillId="0" borderId="12" xfId="60" applyFont="1" applyFill="1" applyBorder="1" applyAlignment="1">
      <alignment horizontal="right"/>
      <protection/>
    </xf>
    <xf numFmtId="0" fontId="11" fillId="0" borderId="22" xfId="60" applyFont="1" applyFill="1" applyBorder="1">
      <alignment/>
      <protection/>
    </xf>
    <xf numFmtId="174" fontId="11" fillId="0" borderId="22" xfId="60" applyNumberFormat="1" applyFont="1" applyFill="1" applyBorder="1">
      <alignment/>
      <protection/>
    </xf>
    <xf numFmtId="1" fontId="11" fillId="0" borderId="22" xfId="60" applyNumberFormat="1" applyFont="1" applyFill="1" applyBorder="1">
      <alignment/>
      <protection/>
    </xf>
    <xf numFmtId="0" fontId="1" fillId="0" borderId="22" xfId="60" applyFont="1" applyFill="1" applyBorder="1" applyAlignment="1">
      <alignment horizontal="right"/>
      <protection/>
    </xf>
    <xf numFmtId="0" fontId="41" fillId="0" borderId="22" xfId="60" applyFont="1" applyBorder="1" applyAlignment="1">
      <alignment horizontal="right" wrapText="1"/>
      <protection/>
    </xf>
    <xf numFmtId="0" fontId="3" fillId="0" borderId="15" xfId="60" applyFont="1" applyFill="1" applyBorder="1" applyAlignment="1">
      <alignment vertical="top" wrapText="1"/>
      <protection/>
    </xf>
    <xf numFmtId="0" fontId="42" fillId="35" borderId="10" xfId="60" applyFont="1" applyFill="1" applyBorder="1">
      <alignment/>
      <protection/>
    </xf>
    <xf numFmtId="174" fontId="42" fillId="35" borderId="10" xfId="60" applyNumberFormat="1" applyFont="1" applyFill="1" applyBorder="1" applyAlignment="1">
      <alignment horizontal="right" vertical="center"/>
      <protection/>
    </xf>
    <xf numFmtId="0" fontId="33" fillId="0" borderId="11" xfId="60" applyFont="1" applyFill="1" applyBorder="1" applyAlignment="1">
      <alignment horizontal="right" wrapText="1"/>
      <protection/>
    </xf>
    <xf numFmtId="174" fontId="12" fillId="0" borderId="22" xfId="60" applyNumberFormat="1" applyFont="1" applyFill="1" applyBorder="1">
      <alignment/>
      <protection/>
    </xf>
    <xf numFmtId="174" fontId="12" fillId="0" borderId="22" xfId="60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33" fillId="0" borderId="11" xfId="60" applyFont="1" applyFill="1" applyBorder="1" applyAlignment="1">
      <alignment wrapText="1"/>
      <protection/>
    </xf>
    <xf numFmtId="0" fontId="39" fillId="0" borderId="0" xfId="60" applyFont="1" applyFill="1" applyBorder="1" applyAlignment="1">
      <alignment horizontal="center" vertical="center"/>
      <protection/>
    </xf>
    <xf numFmtId="2" fontId="19" fillId="0" borderId="0" xfId="60" applyNumberFormat="1" applyFont="1" applyFill="1" applyBorder="1">
      <alignment/>
      <protection/>
    </xf>
    <xf numFmtId="174" fontId="9" fillId="0" borderId="0" xfId="60" applyNumberFormat="1" applyFont="1" applyFill="1" applyBorder="1">
      <alignment/>
      <protection/>
    </xf>
    <xf numFmtId="0" fontId="11" fillId="0" borderId="22" xfId="60" applyFont="1" applyFill="1" applyBorder="1" applyAlignment="1">
      <alignment horizontal="center" vertical="center"/>
      <protection/>
    </xf>
    <xf numFmtId="2" fontId="19" fillId="0" borderId="22" xfId="60" applyNumberFormat="1" applyFont="1" applyFill="1" applyBorder="1">
      <alignment/>
      <protection/>
    </xf>
    <xf numFmtId="174" fontId="41" fillId="0" borderId="22" xfId="60" applyNumberFormat="1" applyFont="1" applyBorder="1" applyAlignment="1">
      <alignment horizontal="right" wrapText="1"/>
      <protection/>
    </xf>
    <xf numFmtId="1" fontId="12" fillId="0" borderId="22" xfId="60" applyNumberFormat="1" applyFont="1" applyFill="1" applyBorder="1" applyAlignment="1">
      <alignment/>
      <protection/>
    </xf>
    <xf numFmtId="0" fontId="43" fillId="0" borderId="0" xfId="60" applyFont="1" applyFill="1" applyBorder="1" applyAlignment="1">
      <alignment horizontal="center" vertical="center"/>
      <protection/>
    </xf>
    <xf numFmtId="174" fontId="39" fillId="0" borderId="0" xfId="60" applyNumberFormat="1" applyFont="1" applyFill="1" applyBorder="1" applyAlignment="1">
      <alignment horizontal="center" vertical="center"/>
      <protection/>
    </xf>
    <xf numFmtId="0" fontId="1" fillId="0" borderId="24" xfId="60" applyFill="1" applyBorder="1">
      <alignment/>
      <protection/>
    </xf>
    <xf numFmtId="2" fontId="19" fillId="0" borderId="24" xfId="60" applyNumberFormat="1" applyFont="1" applyFill="1" applyBorder="1">
      <alignment/>
      <protection/>
    </xf>
    <xf numFmtId="0" fontId="12" fillId="0" borderId="24" xfId="60" applyFont="1" applyFill="1" applyBorder="1" applyAlignment="1">
      <alignment horizontal="right"/>
      <protection/>
    </xf>
    <xf numFmtId="174" fontId="12" fillId="0" borderId="24" xfId="60" applyNumberFormat="1" applyFont="1" applyFill="1" applyBorder="1" applyAlignment="1">
      <alignment horizontal="right"/>
      <protection/>
    </xf>
    <xf numFmtId="1" fontId="12" fillId="0" borderId="24" xfId="60" applyNumberFormat="1" applyFont="1" applyFill="1" applyBorder="1" applyAlignment="1">
      <alignment horizontal="right"/>
      <protection/>
    </xf>
    <xf numFmtId="0" fontId="12" fillId="0" borderId="22" xfId="60" applyFont="1" applyBorder="1" applyAlignment="1">
      <alignment horizontal="right"/>
      <protection/>
    </xf>
    <xf numFmtId="2" fontId="18" fillId="0" borderId="0" xfId="60" applyNumberFormat="1" applyFont="1" applyFill="1" applyBorder="1">
      <alignment/>
      <protection/>
    </xf>
    <xf numFmtId="174" fontId="18" fillId="0" borderId="0" xfId="60" applyNumberFormat="1" applyFont="1" applyFill="1" applyBorder="1" applyAlignment="1">
      <alignment horizontal="right"/>
      <protection/>
    </xf>
    <xf numFmtId="0" fontId="18" fillId="0" borderId="0" xfId="60" applyFont="1" applyFill="1" applyBorder="1" applyAlignment="1">
      <alignment horizontal="right"/>
      <protection/>
    </xf>
    <xf numFmtId="0" fontId="21" fillId="0" borderId="0" xfId="60" applyFont="1" applyFill="1" applyAlignment="1">
      <alignment horizontal="right"/>
      <protection/>
    </xf>
    <xf numFmtId="174" fontId="9" fillId="0" borderId="24" xfId="60" applyNumberFormat="1" applyFont="1" applyFill="1" applyBorder="1">
      <alignment/>
      <protection/>
    </xf>
    <xf numFmtId="0" fontId="12" fillId="0" borderId="0" xfId="60" applyFont="1" applyFill="1" applyBorder="1" applyAlignment="1">
      <alignment vertical="center"/>
      <protection/>
    </xf>
    <xf numFmtId="1" fontId="12" fillId="0" borderId="0" xfId="60" applyNumberFormat="1" applyFont="1" applyAlignment="1">
      <alignment horizontal="right"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Alignment="1">
      <alignment horizontal="right"/>
      <protection/>
    </xf>
    <xf numFmtId="174" fontId="12" fillId="0" borderId="0" xfId="60" applyNumberFormat="1" applyFont="1" applyAlignment="1">
      <alignment horizontal="right"/>
      <protection/>
    </xf>
    <xf numFmtId="0" fontId="12" fillId="0" borderId="0" xfId="60" applyFont="1" applyFill="1">
      <alignment/>
      <protection/>
    </xf>
    <xf numFmtId="174" fontId="12" fillId="0" borderId="25" xfId="60" applyNumberFormat="1" applyFont="1" applyFill="1" applyBorder="1">
      <alignment/>
      <protection/>
    </xf>
    <xf numFmtId="0" fontId="12" fillId="0" borderId="22" xfId="60" applyFont="1" applyBorder="1" applyAlignment="1">
      <alignment vertical="center" wrapText="1"/>
      <protection/>
    </xf>
    <xf numFmtId="0" fontId="12" fillId="0" borderId="26" xfId="60" applyFont="1" applyBorder="1" applyAlignment="1">
      <alignment vertical="center" wrapText="1"/>
      <protection/>
    </xf>
    <xf numFmtId="0" fontId="21" fillId="0" borderId="22" xfId="60" applyFont="1" applyBorder="1" applyAlignment="1">
      <alignment vertical="center" wrapText="1"/>
      <protection/>
    </xf>
    <xf numFmtId="0" fontId="1" fillId="39" borderId="22" xfId="60" applyFill="1" applyBorder="1">
      <alignment/>
      <protection/>
    </xf>
    <xf numFmtId="0" fontId="30" fillId="39" borderId="22" xfId="60" applyFont="1" applyFill="1" applyBorder="1" applyAlignment="1">
      <alignment vertical="center"/>
      <protection/>
    </xf>
    <xf numFmtId="0" fontId="18" fillId="39" borderId="22" xfId="60" applyFont="1" applyFill="1" applyBorder="1" applyAlignment="1">
      <alignment horizontal="right" vertical="center"/>
      <protection/>
    </xf>
    <xf numFmtId="174" fontId="18" fillId="39" borderId="22" xfId="60" applyNumberFormat="1" applyFont="1" applyFill="1" applyBorder="1" applyAlignment="1">
      <alignment horizontal="right" vertical="center"/>
      <protection/>
    </xf>
    <xf numFmtId="1" fontId="18" fillId="39" borderId="22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Alignment="1">
      <alignment horizontal="center" vertical="center"/>
      <protection/>
    </xf>
    <xf numFmtId="174" fontId="10" fillId="0" borderId="23" xfId="60" applyNumberFormat="1" applyFont="1" applyFill="1" applyBorder="1">
      <alignment/>
      <protection/>
    </xf>
    <xf numFmtId="0" fontId="12" fillId="0" borderId="0" xfId="60" applyFont="1" applyFill="1" applyAlignment="1">
      <alignment horizontal="center" vertical="center"/>
      <protection/>
    </xf>
    <xf numFmtId="0" fontId="11" fillId="0" borderId="0" xfId="60" applyFont="1" applyFill="1" applyBorder="1" applyAlignment="1">
      <alignment horizontal="center"/>
      <protection/>
    </xf>
    <xf numFmtId="174" fontId="19" fillId="0" borderId="22" xfId="60" applyNumberFormat="1" applyFont="1" applyFill="1" applyBorder="1">
      <alignment/>
      <protection/>
    </xf>
    <xf numFmtId="174" fontId="19" fillId="0" borderId="0" xfId="60" applyNumberFormat="1" applyFont="1" applyFill="1" applyBorder="1">
      <alignment/>
      <protection/>
    </xf>
    <xf numFmtId="0" fontId="40" fillId="0" borderId="25" xfId="60" applyFont="1" applyFill="1" applyBorder="1" applyAlignment="1">
      <alignment horizontal="center"/>
      <protection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50" fillId="0" borderId="22" xfId="0" applyFont="1" applyBorder="1" applyAlignment="1">
      <alignment/>
    </xf>
    <xf numFmtId="0" fontId="51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/>
    </xf>
    <xf numFmtId="0" fontId="57" fillId="0" borderId="22" xfId="0" applyFont="1" applyBorder="1" applyAlignment="1">
      <alignment/>
    </xf>
    <xf numFmtId="0" fontId="59" fillId="0" borderId="22" xfId="61" applyFont="1" applyFill="1" applyBorder="1">
      <alignment/>
      <protection/>
    </xf>
    <xf numFmtId="0" fontId="62" fillId="0" borderId="22" xfId="61" applyFont="1" applyBorder="1" applyAlignment="1">
      <alignment horizontal="center"/>
      <protection/>
    </xf>
    <xf numFmtId="0" fontId="63" fillId="0" borderId="22" xfId="61" applyFont="1" applyFill="1" applyBorder="1">
      <alignment/>
      <protection/>
    </xf>
    <xf numFmtId="0" fontId="62" fillId="0" borderId="22" xfId="61" applyFont="1" applyFill="1" applyBorder="1" applyAlignment="1">
      <alignment horizontal="center" vertical="center"/>
      <protection/>
    </xf>
    <xf numFmtId="0" fontId="62" fillId="0" borderId="22" xfId="61" applyFont="1" applyBorder="1" applyAlignment="1">
      <alignment horizontal="center" vertical="center"/>
      <protection/>
    </xf>
    <xf numFmtId="0" fontId="11" fillId="40" borderId="22" xfId="60" applyFont="1" applyFill="1" applyBorder="1" applyAlignment="1">
      <alignment horizontal="center" vertical="center"/>
      <protection/>
    </xf>
    <xf numFmtId="0" fontId="21" fillId="40" borderId="22" xfId="60" applyFont="1" applyFill="1" applyBorder="1" applyAlignment="1">
      <alignment horizontal="center" vertical="center"/>
      <protection/>
    </xf>
    <xf numFmtId="0" fontId="13" fillId="40" borderId="22" xfId="60" applyFont="1" applyFill="1" applyBorder="1" applyAlignment="1">
      <alignment horizontal="center" vertical="center"/>
      <protection/>
    </xf>
    <xf numFmtId="2" fontId="12" fillId="0" borderId="14" xfId="60" applyNumberFormat="1" applyFont="1" applyFill="1" applyBorder="1" applyAlignment="1">
      <alignment vertical="top" wrapText="1"/>
      <protection/>
    </xf>
    <xf numFmtId="2" fontId="12" fillId="0" borderId="10" xfId="60" applyNumberFormat="1" applyFont="1" applyFill="1" applyBorder="1" applyAlignment="1">
      <alignment vertical="top" wrapText="1"/>
      <protection/>
    </xf>
    <xf numFmtId="0" fontId="12" fillId="0" borderId="27" xfId="60" applyFont="1" applyFill="1" applyBorder="1" applyAlignment="1">
      <alignment vertical="center"/>
      <protection/>
    </xf>
    <xf numFmtId="0" fontId="2" fillId="0" borderId="22" xfId="60" applyFont="1" applyFill="1" applyBorder="1" applyAlignment="1">
      <alignment vertical="center"/>
      <protection/>
    </xf>
    <xf numFmtId="0" fontId="19" fillId="0" borderId="22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right"/>
      <protection/>
    </xf>
    <xf numFmtId="2" fontId="3" fillId="0" borderId="22" xfId="60" applyNumberFormat="1" applyFont="1" applyFill="1" applyBorder="1" applyAlignment="1">
      <alignment horizontal="right"/>
      <protection/>
    </xf>
    <xf numFmtId="1" fontId="3" fillId="0" borderId="22" xfId="60" applyNumberFormat="1" applyFont="1" applyFill="1" applyBorder="1" applyAlignment="1">
      <alignment horizontal="right"/>
      <protection/>
    </xf>
    <xf numFmtId="0" fontId="19" fillId="0" borderId="22" xfId="60" applyFont="1" applyFill="1" applyBorder="1" applyAlignment="1">
      <alignment horizontal="left"/>
      <protection/>
    </xf>
    <xf numFmtId="2" fontId="3" fillId="0" borderId="22" xfId="60" applyNumberFormat="1" applyFont="1" applyFill="1" applyBorder="1" applyAlignment="1">
      <alignment horizontal="right" vertical="top" wrapText="1"/>
      <protection/>
    </xf>
    <xf numFmtId="0" fontId="19" fillId="0" borderId="22" xfId="60" applyFont="1" applyFill="1" applyBorder="1" applyAlignment="1">
      <alignment horizontal="left" vertical="center"/>
      <protection/>
    </xf>
    <xf numFmtId="0" fontId="3" fillId="0" borderId="22" xfId="60" applyFont="1" applyFill="1" applyBorder="1" applyAlignment="1">
      <alignment horizontal="right" vertical="center" wrapText="1"/>
      <protection/>
    </xf>
    <xf numFmtId="0" fontId="69" fillId="0" borderId="22" xfId="60" applyFont="1" applyFill="1" applyBorder="1" applyAlignment="1">
      <alignment horizontal="right" vertical="top" wrapText="1"/>
      <protection/>
    </xf>
    <xf numFmtId="1" fontId="69" fillId="0" borderId="22" xfId="60" applyNumberFormat="1" applyFont="1" applyFill="1" applyBorder="1" applyAlignment="1">
      <alignment horizontal="right" vertical="top" wrapText="1"/>
      <protection/>
    </xf>
    <xf numFmtId="1" fontId="3" fillId="37" borderId="22" xfId="60" applyNumberFormat="1" applyFont="1" applyFill="1" applyBorder="1" applyAlignment="1">
      <alignment horizontal="right"/>
      <protection/>
    </xf>
    <xf numFmtId="0" fontId="3" fillId="0" borderId="22" xfId="60" applyFont="1" applyFill="1" applyBorder="1" applyAlignment="1">
      <alignment horizontal="right" vertical="center"/>
      <protection/>
    </xf>
    <xf numFmtId="0" fontId="3" fillId="0" borderId="22" xfId="60" applyFont="1" applyFill="1" applyBorder="1" applyAlignment="1">
      <alignment vertical="center"/>
      <protection/>
    </xf>
    <xf numFmtId="1" fontId="3" fillId="0" borderId="22" xfId="60" applyNumberFormat="1" applyFont="1" applyFill="1" applyBorder="1" applyAlignment="1">
      <alignment horizontal="right" vertical="center"/>
      <protection/>
    </xf>
    <xf numFmtId="0" fontId="3" fillId="0" borderId="22" xfId="0" applyNumberFormat="1" applyFont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1" fontId="3" fillId="0" borderId="22" xfId="60" applyNumberFormat="1" applyFont="1" applyBorder="1" applyAlignment="1">
      <alignment horizontal="right"/>
      <protection/>
    </xf>
    <xf numFmtId="1" fontId="3" fillId="0" borderId="22" xfId="60" applyNumberFormat="1" applyFont="1" applyBorder="1" applyAlignment="1">
      <alignment horizontal="right" vertical="center" wrapText="1"/>
      <protection/>
    </xf>
    <xf numFmtId="174" fontId="3" fillId="0" borderId="22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22" xfId="60" applyFont="1" applyFill="1" applyBorder="1" applyAlignment="1">
      <alignment/>
      <protection/>
    </xf>
    <xf numFmtId="176" fontId="3" fillId="0" borderId="22" xfId="42" applyNumberFormat="1" applyFont="1" applyFill="1" applyBorder="1" applyAlignment="1" applyProtection="1">
      <alignment/>
      <protection/>
    </xf>
    <xf numFmtId="1" fontId="3" fillId="0" borderId="22" xfId="60" applyNumberFormat="1" applyFont="1" applyFill="1" applyBorder="1" applyAlignment="1">
      <alignment/>
      <protection/>
    </xf>
    <xf numFmtId="0" fontId="12" fillId="35" borderId="0" xfId="60" applyFont="1" applyFill="1" applyAlignment="1">
      <alignment horizontal="right" vertical="center"/>
      <protection/>
    </xf>
    <xf numFmtId="0" fontId="41" fillId="0" borderId="10" xfId="60" applyFont="1" applyBorder="1" applyAlignment="1">
      <alignment horizontal="right" wrapText="1"/>
      <protection/>
    </xf>
    <xf numFmtId="174" fontId="41" fillId="0" borderId="10" xfId="60" applyNumberFormat="1" applyFont="1" applyBorder="1" applyAlignment="1">
      <alignment horizontal="right" wrapText="1"/>
      <protection/>
    </xf>
    <xf numFmtId="0" fontId="12" fillId="0" borderId="15" xfId="60" applyFont="1" applyBorder="1" applyAlignment="1">
      <alignment horizontal="right" vertical="center" wrapText="1"/>
      <protection/>
    </xf>
    <xf numFmtId="2" fontId="12" fillId="0" borderId="11" xfId="60" applyNumberFormat="1" applyFont="1" applyFill="1" applyBorder="1" applyAlignment="1">
      <alignment vertical="center"/>
      <protection/>
    </xf>
    <xf numFmtId="174" fontId="12" fillId="0" borderId="22" xfId="60" applyNumberFormat="1" applyFont="1" applyFill="1" applyBorder="1" applyAlignment="1">
      <alignment horizontal="right" vertical="top" wrapText="1"/>
      <protection/>
    </xf>
    <xf numFmtId="1" fontId="12" fillId="34" borderId="22" xfId="60" applyNumberFormat="1" applyFont="1" applyFill="1" applyBorder="1" applyAlignment="1">
      <alignment horizontal="right" vertical="center"/>
      <protection/>
    </xf>
    <xf numFmtId="0" fontId="12" fillId="34" borderId="22" xfId="60" applyFont="1" applyFill="1" applyBorder="1">
      <alignment/>
      <protection/>
    </xf>
    <xf numFmtId="2" fontId="12" fillId="0" borderId="22" xfId="60" applyNumberFormat="1" applyFont="1" applyFill="1" applyBorder="1" applyAlignment="1">
      <alignment horizontal="right" vertical="center"/>
      <protection/>
    </xf>
    <xf numFmtId="0" fontId="3" fillId="0" borderId="18" xfId="60" applyFont="1" applyFill="1" applyBorder="1">
      <alignment/>
      <protection/>
    </xf>
    <xf numFmtId="0" fontId="3" fillId="0" borderId="26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wrapText="1"/>
      <protection/>
    </xf>
    <xf numFmtId="0" fontId="70" fillId="41" borderId="0" xfId="0" applyFont="1" applyFill="1" applyAlignment="1">
      <alignment horizontal="center" vertical="center"/>
    </xf>
    <xf numFmtId="174" fontId="56" fillId="0" borderId="22" xfId="0" applyNumberFormat="1" applyFont="1" applyBorder="1" applyAlignment="1">
      <alignment/>
    </xf>
    <xf numFmtId="0" fontId="71" fillId="40" borderId="22" xfId="0" applyFont="1" applyFill="1" applyBorder="1" applyAlignment="1">
      <alignment/>
    </xf>
    <xf numFmtId="2" fontId="71" fillId="40" borderId="22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22" xfId="0" applyFont="1" applyBorder="1" applyAlignment="1">
      <alignment horizontal="center"/>
    </xf>
    <xf numFmtId="0" fontId="58" fillId="41" borderId="22" xfId="0" applyFont="1" applyFill="1" applyBorder="1" applyAlignment="1">
      <alignment/>
    </xf>
    <xf numFmtId="2" fontId="58" fillId="41" borderId="22" xfId="0" applyNumberFormat="1" applyFont="1" applyFill="1" applyBorder="1" applyAlignment="1">
      <alignment/>
    </xf>
    <xf numFmtId="0" fontId="55" fillId="41" borderId="28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 vertical="center"/>
    </xf>
    <xf numFmtId="1" fontId="134" fillId="0" borderId="0" xfId="60" applyNumberFormat="1" applyFont="1" applyFill="1" applyBorder="1">
      <alignment/>
      <protection/>
    </xf>
    <xf numFmtId="0" fontId="11" fillId="33" borderId="14" xfId="60" applyFont="1" applyFill="1" applyBorder="1">
      <alignment/>
      <protection/>
    </xf>
    <xf numFmtId="0" fontId="1" fillId="0" borderId="14" xfId="60" applyFont="1" applyFill="1" applyBorder="1" applyAlignment="1">
      <alignment horizontal="right" vertical="top" wrapText="1"/>
      <protection/>
    </xf>
    <xf numFmtId="1" fontId="3" fillId="33" borderId="14" xfId="60" applyNumberFormat="1" applyFont="1" applyFill="1" applyBorder="1" applyAlignment="1">
      <alignment horizontal="right"/>
      <protection/>
    </xf>
    <xf numFmtId="174" fontId="3" fillId="0" borderId="22" xfId="60" applyNumberFormat="1" applyFont="1" applyFill="1" applyBorder="1" applyAlignment="1">
      <alignment/>
      <protection/>
    </xf>
    <xf numFmtId="1" fontId="3" fillId="36" borderId="22" xfId="60" applyNumberFormat="1" applyFont="1" applyFill="1" applyBorder="1" applyAlignment="1">
      <alignment/>
      <protection/>
    </xf>
    <xf numFmtId="0" fontId="3" fillId="0" borderId="22" xfId="60" applyFont="1" applyBorder="1" applyAlignment="1">
      <alignment wrapText="1"/>
      <protection/>
    </xf>
    <xf numFmtId="174" fontId="3" fillId="0" borderId="22" xfId="60" applyNumberFormat="1" applyFont="1" applyBorder="1" applyAlignment="1">
      <alignment wrapText="1"/>
      <protection/>
    </xf>
    <xf numFmtId="3" fontId="3" fillId="0" borderId="22" xfId="60" applyNumberFormat="1" applyFont="1" applyFill="1" applyBorder="1" applyAlignment="1">
      <alignment/>
      <protection/>
    </xf>
    <xf numFmtId="2" fontId="3" fillId="0" borderId="22" xfId="60" applyNumberFormat="1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vertical="center" wrapText="1"/>
      <protection/>
    </xf>
    <xf numFmtId="174" fontId="3" fillId="0" borderId="22" xfId="60" applyNumberFormat="1" applyFont="1" applyFill="1" applyBorder="1" applyAlignment="1">
      <alignment vertical="center" wrapText="1"/>
      <protection/>
    </xf>
    <xf numFmtId="1" fontId="3" fillId="0" borderId="22" xfId="60" applyNumberFormat="1" applyFont="1" applyFill="1" applyBorder="1" applyAlignment="1">
      <alignment vertical="center" wrapText="1"/>
      <protection/>
    </xf>
    <xf numFmtId="1" fontId="3" fillId="37" borderId="22" xfId="60" applyNumberFormat="1" applyFont="1" applyFill="1" applyBorder="1" applyAlignment="1">
      <alignment/>
      <protection/>
    </xf>
    <xf numFmtId="0" fontId="3" fillId="35" borderId="22" xfId="60" applyFont="1" applyFill="1" applyBorder="1" applyAlignment="1">
      <alignment vertical="center"/>
      <protection/>
    </xf>
    <xf numFmtId="174" fontId="3" fillId="35" borderId="22" xfId="60" applyNumberFormat="1" applyFont="1" applyFill="1" applyBorder="1" applyAlignment="1">
      <alignment vertical="center"/>
      <protection/>
    </xf>
    <xf numFmtId="1" fontId="3" fillId="35" borderId="22" xfId="60" applyNumberFormat="1" applyFont="1" applyFill="1" applyBorder="1" applyAlignment="1">
      <alignment/>
      <protection/>
    </xf>
    <xf numFmtId="1" fontId="3" fillId="0" borderId="22" xfId="60" applyNumberFormat="1" applyFont="1" applyFill="1" applyBorder="1" applyAlignment="1">
      <alignment vertical="top" wrapText="1"/>
      <protection/>
    </xf>
    <xf numFmtId="174" fontId="3" fillId="0" borderId="22" xfId="60" applyNumberFormat="1" applyFont="1" applyFill="1" applyBorder="1" applyAlignment="1">
      <alignment vertical="top" wrapText="1"/>
      <protection/>
    </xf>
    <xf numFmtId="2" fontId="3" fillId="0" borderId="22" xfId="60" applyNumberFormat="1" applyFont="1" applyFill="1" applyBorder="1" applyAlignment="1">
      <alignment vertical="center"/>
      <protection/>
    </xf>
    <xf numFmtId="1" fontId="3" fillId="0" borderId="22" xfId="60" applyNumberFormat="1" applyFont="1" applyFill="1" applyBorder="1" applyAlignment="1">
      <alignment vertical="center"/>
      <protection/>
    </xf>
    <xf numFmtId="0" fontId="3" fillId="0" borderId="22" xfId="0" applyNumberFormat="1" applyFont="1" applyBorder="1" applyAlignment="1">
      <alignment vertical="center" wrapText="1"/>
    </xf>
    <xf numFmtId="174" fontId="3" fillId="0" borderId="22" xfId="0" applyNumberFormat="1" applyFont="1" applyBorder="1" applyAlignment="1">
      <alignment vertical="center" wrapText="1"/>
    </xf>
    <xf numFmtId="2" fontId="3" fillId="0" borderId="22" xfId="60" applyNumberFormat="1" applyFont="1" applyFill="1" applyBorder="1" applyAlignment="1">
      <alignment/>
      <protection/>
    </xf>
    <xf numFmtId="1" fontId="3" fillId="0" borderId="22" xfId="60" applyNumberFormat="1" applyFont="1" applyBorder="1" applyAlignment="1">
      <alignment/>
      <protection/>
    </xf>
    <xf numFmtId="1" fontId="3" fillId="34" borderId="22" xfId="60" applyNumberFormat="1" applyFont="1" applyFill="1" applyBorder="1" applyAlignment="1">
      <alignment/>
      <protection/>
    </xf>
    <xf numFmtId="1" fontId="3" fillId="0" borderId="22" xfId="0" applyNumberFormat="1" applyFont="1" applyBorder="1" applyAlignment="1">
      <alignment vertical="center" wrapText="1"/>
    </xf>
    <xf numFmtId="0" fontId="3" fillId="0" borderId="22" xfId="60" applyNumberFormat="1" applyFont="1" applyFill="1" applyBorder="1" applyAlignment="1">
      <alignment vertical="center" wrapText="1"/>
      <protection/>
    </xf>
    <xf numFmtId="0" fontId="11" fillId="0" borderId="22" xfId="60" applyFont="1" applyFill="1" applyBorder="1" applyAlignment="1">
      <alignment horizontal="left" vertical="top" wrapText="1"/>
      <protection/>
    </xf>
    <xf numFmtId="0" fontId="11" fillId="0" borderId="22" xfId="60" applyFont="1" applyFill="1" applyBorder="1" applyAlignment="1">
      <alignment horizontal="left"/>
      <protection/>
    </xf>
    <xf numFmtId="2" fontId="11" fillId="0" borderId="22" xfId="60" applyNumberFormat="1" applyFont="1" applyFill="1" applyBorder="1">
      <alignment/>
      <protection/>
    </xf>
    <xf numFmtId="0" fontId="3" fillId="34" borderId="22" xfId="60" applyFont="1" applyFill="1" applyBorder="1" applyAlignment="1">
      <alignment/>
      <protection/>
    </xf>
    <xf numFmtId="0" fontId="3" fillId="0" borderId="22" xfId="60" applyNumberFormat="1" applyFont="1" applyFill="1" applyBorder="1" applyAlignment="1">
      <alignment/>
      <protection/>
    </xf>
    <xf numFmtId="0" fontId="12" fillId="35" borderId="22" xfId="60" applyFont="1" applyFill="1" applyBorder="1" applyAlignment="1">
      <alignment horizontal="right"/>
      <protection/>
    </xf>
    <xf numFmtId="174" fontId="12" fillId="35" borderId="22" xfId="60" applyNumberFormat="1" applyFont="1" applyFill="1" applyBorder="1" applyAlignment="1">
      <alignment horizontal="right"/>
      <protection/>
    </xf>
    <xf numFmtId="1" fontId="12" fillId="35" borderId="22" xfId="60" applyNumberFormat="1" applyFont="1" applyFill="1" applyBorder="1" applyAlignment="1">
      <alignment horizontal="right"/>
      <protection/>
    </xf>
    <xf numFmtId="1" fontId="12" fillId="36" borderId="22" xfId="60" applyNumberFormat="1" applyFont="1" applyFill="1" applyBorder="1" applyAlignment="1">
      <alignment horizontal="right"/>
      <protection/>
    </xf>
    <xf numFmtId="0" fontId="12" fillId="36" borderId="22" xfId="60" applyFont="1" applyFill="1" applyBorder="1" applyAlignment="1">
      <alignment horizontal="right"/>
      <protection/>
    </xf>
    <xf numFmtId="174" fontId="11" fillId="42" borderId="22" xfId="60" applyNumberFormat="1" applyFont="1" applyFill="1" applyBorder="1">
      <alignment/>
      <protection/>
    </xf>
    <xf numFmtId="2" fontId="12" fillId="0" borderId="22" xfId="60" applyNumberFormat="1" applyFont="1" applyFill="1" applyBorder="1" applyAlignment="1">
      <alignment horizontal="right"/>
      <protection/>
    </xf>
    <xf numFmtId="0" fontId="12" fillId="34" borderId="22" xfId="60" applyFont="1" applyFill="1" applyBorder="1" applyAlignment="1">
      <alignment horizontal="right"/>
      <protection/>
    </xf>
    <xf numFmtId="176" fontId="12" fillId="0" borderId="22" xfId="42" applyNumberFormat="1" applyFont="1" applyFill="1" applyBorder="1" applyAlignment="1" applyProtection="1">
      <alignment horizontal="right"/>
      <protection/>
    </xf>
    <xf numFmtId="0" fontId="12" fillId="0" borderId="22" xfId="0" applyNumberFormat="1" applyFont="1" applyFill="1" applyBorder="1" applyAlignment="1">
      <alignment horizontal="right" wrapText="1"/>
    </xf>
    <xf numFmtId="174" fontId="11" fillId="0" borderId="23" xfId="60" applyNumberFormat="1" applyFont="1" applyFill="1" applyBorder="1">
      <alignment/>
      <protection/>
    </xf>
    <xf numFmtId="1" fontId="12" fillId="34" borderId="22" xfId="60" applyNumberFormat="1" applyFont="1" applyFill="1" applyBorder="1" applyAlignment="1">
      <alignment horizontal="right"/>
      <protection/>
    </xf>
    <xf numFmtId="1" fontId="12" fillId="38" borderId="22" xfId="60" applyNumberFormat="1" applyFont="1" applyFill="1" applyBorder="1" applyAlignment="1">
      <alignment horizontal="right"/>
      <protection/>
    </xf>
    <xf numFmtId="1" fontId="12" fillId="35" borderId="22" xfId="0" applyNumberFormat="1" applyFont="1" applyFill="1" applyBorder="1" applyAlignment="1">
      <alignment horizontal="right"/>
    </xf>
    <xf numFmtId="2" fontId="12" fillId="35" borderId="22" xfId="0" applyNumberFormat="1" applyFont="1" applyFill="1" applyBorder="1" applyAlignment="1">
      <alignment horizontal="right"/>
    </xf>
    <xf numFmtId="174" fontId="12" fillId="36" borderId="22" xfId="60" applyNumberFormat="1" applyFont="1" applyFill="1" applyBorder="1" applyAlignment="1">
      <alignment horizontal="right"/>
      <protection/>
    </xf>
    <xf numFmtId="2" fontId="12" fillId="0" borderId="22" xfId="0" applyNumberFormat="1" applyFont="1" applyFill="1" applyBorder="1" applyAlignment="1">
      <alignment horizontal="right" wrapText="1"/>
    </xf>
    <xf numFmtId="0" fontId="18" fillId="33" borderId="15" xfId="60" applyFont="1" applyFill="1" applyBorder="1" applyAlignment="1">
      <alignment horizontal="right"/>
      <protection/>
    </xf>
    <xf numFmtId="0" fontId="12" fillId="0" borderId="10" xfId="60" applyFont="1" applyBorder="1" applyAlignment="1">
      <alignment horizontal="right" wrapText="1"/>
      <protection/>
    </xf>
    <xf numFmtId="174" fontId="12" fillId="0" borderId="10" xfId="60" applyNumberFormat="1" applyFont="1" applyBorder="1" applyAlignment="1">
      <alignment horizontal="right" wrapText="1"/>
      <protection/>
    </xf>
    <xf numFmtId="176" fontId="12" fillId="0" borderId="22" xfId="42" applyNumberFormat="1" applyFont="1" applyFill="1" applyBorder="1" applyAlignment="1" applyProtection="1">
      <alignment/>
      <protection/>
    </xf>
    <xf numFmtId="1" fontId="12" fillId="34" borderId="22" xfId="60" applyNumberFormat="1" applyFont="1" applyFill="1" applyBorder="1">
      <alignment/>
      <protection/>
    </xf>
    <xf numFmtId="2" fontId="3" fillId="0" borderId="10" xfId="60" applyNumberFormat="1" applyFont="1" applyFill="1" applyBorder="1" applyAlignment="1">
      <alignment horizontal="right" vertical="top" wrapText="1"/>
      <protection/>
    </xf>
    <xf numFmtId="174" fontId="12" fillId="36" borderId="22" xfId="60" applyNumberFormat="1" applyFont="1" applyFill="1" applyBorder="1" applyAlignment="1">
      <alignment horizontal="right" vertical="center"/>
      <protection/>
    </xf>
    <xf numFmtId="1" fontId="12" fillId="36" borderId="22" xfId="60" applyNumberFormat="1" applyFont="1" applyFill="1" applyBorder="1" applyAlignment="1">
      <alignment horizontal="right" vertical="center"/>
      <protection/>
    </xf>
    <xf numFmtId="0" fontId="12" fillId="36" borderId="22" xfId="60" applyFont="1" applyFill="1" applyBorder="1">
      <alignment/>
      <protection/>
    </xf>
    <xf numFmtId="1" fontId="21" fillId="36" borderId="22" xfId="60" applyNumberFormat="1" applyFont="1" applyFill="1" applyBorder="1">
      <alignment/>
      <protection/>
    </xf>
    <xf numFmtId="1" fontId="1" fillId="0" borderId="22" xfId="60" applyNumberFormat="1" applyFill="1" applyBorder="1">
      <alignment/>
      <protection/>
    </xf>
    <xf numFmtId="1" fontId="1" fillId="0" borderId="22" xfId="60" applyNumberFormat="1" applyFont="1" applyFill="1" applyBorder="1">
      <alignment/>
      <protection/>
    </xf>
    <xf numFmtId="174" fontId="21" fillId="0" borderId="22" xfId="60" applyNumberFormat="1" applyFont="1" applyFill="1" applyBorder="1">
      <alignment/>
      <protection/>
    </xf>
    <xf numFmtId="1" fontId="21" fillId="34" borderId="22" xfId="60" applyNumberFormat="1" applyFont="1" applyFill="1" applyBorder="1">
      <alignment/>
      <protection/>
    </xf>
    <xf numFmtId="2" fontId="21" fillId="0" borderId="22" xfId="60" applyNumberFormat="1" applyFont="1" applyFill="1" applyBorder="1">
      <alignment/>
      <protection/>
    </xf>
    <xf numFmtId="0" fontId="1" fillId="34" borderId="22" xfId="60" applyFont="1" applyFill="1" applyBorder="1">
      <alignment/>
      <protection/>
    </xf>
    <xf numFmtId="1" fontId="5" fillId="0" borderId="0" xfId="60" applyNumberFormat="1" applyFont="1" applyFill="1">
      <alignment/>
      <protection/>
    </xf>
    <xf numFmtId="1" fontId="5" fillId="0" borderId="22" xfId="60" applyNumberFormat="1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" fontId="3" fillId="0" borderId="11" xfId="60" applyNumberFormat="1" applyFont="1" applyFill="1" applyBorder="1" applyAlignment="1">
      <alignment horizontal="right"/>
      <protection/>
    </xf>
    <xf numFmtId="0" fontId="5" fillId="0" borderId="22" xfId="60" applyFont="1" applyFill="1" applyBorder="1" applyAlignment="1">
      <alignment horizontal="right"/>
      <protection/>
    </xf>
    <xf numFmtId="0" fontId="3" fillId="0" borderId="20" xfId="60" applyFont="1" applyFill="1" applyBorder="1" applyAlignment="1">
      <alignment horizontal="right" vertical="top" wrapText="1"/>
      <protection/>
    </xf>
    <xf numFmtId="174" fontId="12" fillId="0" borderId="22" xfId="60" applyNumberFormat="1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wrapText="1"/>
      <protection/>
    </xf>
    <xf numFmtId="0" fontId="13" fillId="0" borderId="1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7" fillId="0" borderId="18" xfId="60" applyFont="1" applyFill="1" applyBorder="1">
      <alignment/>
      <protection/>
    </xf>
    <xf numFmtId="1" fontId="12" fillId="35" borderId="22" xfId="60" applyNumberFormat="1" applyFont="1" applyFill="1" applyBorder="1" applyAlignment="1">
      <alignment horizontal="right" vertical="center"/>
      <protection/>
    </xf>
    <xf numFmtId="0" fontId="12" fillId="35" borderId="22" xfId="60" applyFont="1" applyFill="1" applyBorder="1">
      <alignment/>
      <protection/>
    </xf>
    <xf numFmtId="1" fontId="12" fillId="35" borderId="22" xfId="60" applyNumberFormat="1" applyFont="1" applyFill="1" applyBorder="1">
      <alignment/>
      <protection/>
    </xf>
    <xf numFmtId="1" fontId="12" fillId="36" borderId="22" xfId="60" applyNumberFormat="1" applyFont="1" applyFill="1" applyBorder="1">
      <alignment/>
      <protection/>
    </xf>
    <xf numFmtId="174" fontId="12" fillId="35" borderId="22" xfId="60" applyNumberFormat="1" applyFont="1" applyFill="1" applyBorder="1" applyAlignment="1">
      <alignment horizontal="right" vertical="center"/>
      <protection/>
    </xf>
    <xf numFmtId="1" fontId="12" fillId="36" borderId="10" xfId="60" applyNumberFormat="1" applyFont="1" applyFill="1" applyBorder="1" applyAlignment="1">
      <alignment horizontal="right"/>
      <protection/>
    </xf>
    <xf numFmtId="0" fontId="1" fillId="0" borderId="22" xfId="60" applyFont="1" applyFill="1" applyBorder="1" applyAlignment="1">
      <alignment horizontal="right" vertical="top" wrapText="1"/>
      <protection/>
    </xf>
    <xf numFmtId="2" fontId="46" fillId="0" borderId="22" xfId="0" applyNumberFormat="1" applyFont="1" applyBorder="1" applyAlignment="1">
      <alignment/>
    </xf>
    <xf numFmtId="174" fontId="56" fillId="0" borderId="29" xfId="0" applyNumberFormat="1" applyFont="1" applyFill="1" applyBorder="1" applyAlignment="1">
      <alignment/>
    </xf>
    <xf numFmtId="0" fontId="57" fillId="0" borderId="22" xfId="0" applyFont="1" applyBorder="1" applyAlignment="1">
      <alignment horizontal="left" wrapText="1"/>
    </xf>
    <xf numFmtId="0" fontId="3" fillId="0" borderId="1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174" fontId="19" fillId="0" borderId="0" xfId="60" applyNumberFormat="1" applyFont="1" applyFill="1" applyBorder="1" applyAlignment="1">
      <alignment horizontal="right" vertical="center"/>
      <protection/>
    </xf>
    <xf numFmtId="1" fontId="19" fillId="0" borderId="0" xfId="60" applyNumberFormat="1" applyFont="1" applyFill="1" applyBorder="1" applyAlignment="1">
      <alignment horizontal="right" vertical="center"/>
      <protection/>
    </xf>
    <xf numFmtId="0" fontId="20" fillId="0" borderId="15" xfId="60" applyFont="1" applyFill="1" applyBorder="1" applyAlignment="1">
      <alignment horizontal="right" vertical="top" wrapText="1"/>
      <protection/>
    </xf>
    <xf numFmtId="1" fontId="5" fillId="0" borderId="15" xfId="60" applyNumberFormat="1" applyFont="1" applyFill="1" applyBorder="1" applyAlignment="1">
      <alignment horizontal="right"/>
      <protection/>
    </xf>
    <xf numFmtId="1" fontId="5" fillId="37" borderId="15" xfId="60" applyNumberFormat="1" applyFont="1" applyFill="1" applyBorder="1" applyAlignment="1">
      <alignment horizontal="right"/>
      <protection/>
    </xf>
    <xf numFmtId="0" fontId="5" fillId="0" borderId="15" xfId="60" applyFont="1" applyFill="1" applyBorder="1" applyAlignment="1">
      <alignment horizontal="right"/>
      <protection/>
    </xf>
    <xf numFmtId="0" fontId="11" fillId="43" borderId="10" xfId="60" applyFont="1" applyFill="1" applyBorder="1" applyAlignment="1">
      <alignment horizontal="center" vertical="center"/>
      <protection/>
    </xf>
    <xf numFmtId="0" fontId="3" fillId="43" borderId="10" xfId="60" applyFont="1" applyFill="1" applyBorder="1">
      <alignment/>
      <protection/>
    </xf>
    <xf numFmtId="0" fontId="4" fillId="43" borderId="10" xfId="60" applyFont="1" applyFill="1" applyBorder="1" applyAlignment="1">
      <alignment horizontal="left" vertical="center" wrapText="1"/>
      <protection/>
    </xf>
    <xf numFmtId="0" fontId="12" fillId="43" borderId="10" xfId="60" applyFont="1" applyFill="1" applyBorder="1" applyAlignment="1">
      <alignment horizontal="center" vertical="center"/>
      <protection/>
    </xf>
    <xf numFmtId="0" fontId="13" fillId="43" borderId="10" xfId="60" applyFont="1" applyFill="1" applyBorder="1" applyAlignment="1">
      <alignment horizontal="center" vertical="center"/>
      <protection/>
    </xf>
    <xf numFmtId="0" fontId="15" fillId="43" borderId="10" xfId="60" applyFont="1" applyFill="1" applyBorder="1">
      <alignment/>
      <protection/>
    </xf>
    <xf numFmtId="0" fontId="19" fillId="43" borderId="10" xfId="60" applyFont="1" applyFill="1" applyBorder="1">
      <alignment/>
      <protection/>
    </xf>
    <xf numFmtId="1" fontId="11" fillId="43" borderId="10" xfId="60" applyNumberFormat="1" applyFont="1" applyFill="1" applyBorder="1">
      <alignment/>
      <protection/>
    </xf>
    <xf numFmtId="0" fontId="11" fillId="43" borderId="10" xfId="60" applyFont="1" applyFill="1" applyBorder="1">
      <alignment/>
      <protection/>
    </xf>
    <xf numFmtId="174" fontId="11" fillId="43" borderId="10" xfId="60" applyNumberFormat="1" applyFont="1" applyFill="1" applyBorder="1">
      <alignment/>
      <protection/>
    </xf>
    <xf numFmtId="0" fontId="10" fillId="43" borderId="10" xfId="60" applyFont="1" applyFill="1" applyBorder="1">
      <alignment/>
      <protection/>
    </xf>
    <xf numFmtId="174" fontId="10" fillId="43" borderId="10" xfId="60" applyNumberFormat="1" applyFont="1" applyFill="1" applyBorder="1">
      <alignment/>
      <protection/>
    </xf>
    <xf numFmtId="1" fontId="10" fillId="43" borderId="10" xfId="60" applyNumberFormat="1" applyFont="1" applyFill="1" applyBorder="1">
      <alignment/>
      <protection/>
    </xf>
    <xf numFmtId="174" fontId="19" fillId="43" borderId="10" xfId="60" applyNumberFormat="1" applyFont="1" applyFill="1" applyBorder="1">
      <alignment/>
      <protection/>
    </xf>
    <xf numFmtId="1" fontId="19" fillId="43" borderId="10" xfId="60" applyNumberFormat="1" applyFont="1" applyFill="1" applyBorder="1">
      <alignment/>
      <protection/>
    </xf>
    <xf numFmtId="0" fontId="18" fillId="43" borderId="10" xfId="60" applyNumberFormat="1" applyFont="1" applyFill="1" applyBorder="1" applyAlignment="1" applyProtection="1">
      <alignment/>
      <protection/>
    </xf>
    <xf numFmtId="0" fontId="2" fillId="43" borderId="11" xfId="60" applyFont="1" applyFill="1" applyBorder="1">
      <alignment/>
      <protection/>
    </xf>
    <xf numFmtId="0" fontId="16" fillId="43" borderId="10" xfId="60" applyFont="1" applyFill="1" applyBorder="1">
      <alignment/>
      <protection/>
    </xf>
    <xf numFmtId="0" fontId="14" fillId="43" borderId="10" xfId="60" applyFont="1" applyFill="1" applyBorder="1">
      <alignment/>
      <protection/>
    </xf>
    <xf numFmtId="174" fontId="14" fillId="43" borderId="10" xfId="60" applyNumberFormat="1" applyFont="1" applyFill="1" applyBorder="1">
      <alignment/>
      <protection/>
    </xf>
    <xf numFmtId="1" fontId="14" fillId="43" borderId="10" xfId="60" applyNumberFormat="1" applyFont="1" applyFill="1" applyBorder="1">
      <alignment/>
      <protection/>
    </xf>
    <xf numFmtId="0" fontId="10" fillId="43" borderId="11" xfId="60" applyFont="1" applyFill="1" applyBorder="1">
      <alignment/>
      <protection/>
    </xf>
    <xf numFmtId="0" fontId="9" fillId="43" borderId="10" xfId="60" applyFont="1" applyFill="1" applyBorder="1">
      <alignment/>
      <protection/>
    </xf>
    <xf numFmtId="1" fontId="14" fillId="44" borderId="15" xfId="60" applyNumberFormat="1" applyFont="1" applyFill="1" applyBorder="1">
      <alignment/>
      <protection/>
    </xf>
    <xf numFmtId="174" fontId="14" fillId="44" borderId="15" xfId="60" applyNumberFormat="1" applyFont="1" applyFill="1" applyBorder="1">
      <alignment/>
      <protection/>
    </xf>
    <xf numFmtId="0" fontId="10" fillId="44" borderId="17" xfId="60" applyFont="1" applyFill="1" applyBorder="1">
      <alignment/>
      <protection/>
    </xf>
    <xf numFmtId="0" fontId="9" fillId="44" borderId="15" xfId="60" applyFont="1" applyFill="1" applyBorder="1">
      <alignment/>
      <protection/>
    </xf>
    <xf numFmtId="0" fontId="19" fillId="44" borderId="11" xfId="60" applyFont="1" applyFill="1" applyBorder="1">
      <alignment/>
      <protection/>
    </xf>
    <xf numFmtId="0" fontId="19" fillId="44" borderId="10" xfId="60" applyFont="1" applyFill="1" applyBorder="1">
      <alignment/>
      <protection/>
    </xf>
    <xf numFmtId="0" fontId="15" fillId="44" borderId="10" xfId="60" applyFont="1" applyFill="1" applyBorder="1">
      <alignment/>
      <protection/>
    </xf>
    <xf numFmtId="1" fontId="14" fillId="44" borderId="10" xfId="60" applyNumberFormat="1" applyFont="1" applyFill="1" applyBorder="1">
      <alignment/>
      <protection/>
    </xf>
    <xf numFmtId="2" fontId="14" fillId="44" borderId="10" xfId="60" applyNumberFormat="1" applyFont="1" applyFill="1" applyBorder="1">
      <alignment/>
      <protection/>
    </xf>
    <xf numFmtId="0" fontId="10" fillId="44" borderId="10" xfId="60" applyFont="1" applyFill="1" applyBorder="1">
      <alignment/>
      <protection/>
    </xf>
    <xf numFmtId="0" fontId="9" fillId="44" borderId="10" xfId="60" applyFont="1" applyFill="1" applyBorder="1">
      <alignment/>
      <protection/>
    </xf>
    <xf numFmtId="1" fontId="14" fillId="43" borderId="10" xfId="60" applyNumberFormat="1" applyFont="1" applyFill="1" applyBorder="1" applyAlignment="1">
      <alignment horizontal="right"/>
      <protection/>
    </xf>
    <xf numFmtId="174" fontId="14" fillId="43" borderId="10" xfId="60" applyNumberFormat="1" applyFont="1" applyFill="1" applyBorder="1" applyAlignment="1">
      <alignment horizontal="right"/>
      <protection/>
    </xf>
    <xf numFmtId="0" fontId="10" fillId="43" borderId="22" xfId="60" applyFont="1" applyFill="1" applyBorder="1">
      <alignment/>
      <protection/>
    </xf>
    <xf numFmtId="1" fontId="10" fillId="43" borderId="22" xfId="60" applyNumberFormat="1" applyFont="1" applyFill="1" applyBorder="1">
      <alignment/>
      <protection/>
    </xf>
    <xf numFmtId="0" fontId="14" fillId="43" borderId="14" xfId="60" applyFont="1" applyFill="1" applyBorder="1">
      <alignment/>
      <protection/>
    </xf>
    <xf numFmtId="174" fontId="14" fillId="43" borderId="14" xfId="60" applyNumberFormat="1" applyFont="1" applyFill="1" applyBorder="1">
      <alignment/>
      <protection/>
    </xf>
    <xf numFmtId="1" fontId="14" fillId="43" borderId="14" xfId="60" applyNumberFormat="1" applyFont="1" applyFill="1" applyBorder="1">
      <alignment/>
      <protection/>
    </xf>
    <xf numFmtId="0" fontId="9" fillId="43" borderId="14" xfId="60" applyFont="1" applyFill="1" applyBorder="1">
      <alignment/>
      <protection/>
    </xf>
    <xf numFmtId="174" fontId="10" fillId="44" borderId="10" xfId="60" applyNumberFormat="1" applyFont="1" applyFill="1" applyBorder="1">
      <alignment/>
      <protection/>
    </xf>
    <xf numFmtId="1" fontId="10" fillId="44" borderId="10" xfId="60" applyNumberFormat="1" applyFont="1" applyFill="1" applyBorder="1">
      <alignment/>
      <protection/>
    </xf>
    <xf numFmtId="0" fontId="10" fillId="44" borderId="11" xfId="60" applyFont="1" applyFill="1" applyBorder="1">
      <alignment/>
      <protection/>
    </xf>
    <xf numFmtId="0" fontId="14" fillId="44" borderId="10" xfId="60" applyFont="1" applyFill="1" applyBorder="1">
      <alignment/>
      <protection/>
    </xf>
    <xf numFmtId="174" fontId="14" fillId="44" borderId="10" xfId="60" applyNumberFormat="1" applyFont="1" applyFill="1" applyBorder="1">
      <alignment/>
      <protection/>
    </xf>
    <xf numFmtId="0" fontId="10" fillId="43" borderId="12" xfId="60" applyFont="1" applyFill="1" applyBorder="1" applyAlignment="1">
      <alignment vertical="center"/>
      <protection/>
    </xf>
    <xf numFmtId="0" fontId="9" fillId="43" borderId="12" xfId="60" applyFont="1" applyFill="1" applyBorder="1">
      <alignment/>
      <protection/>
    </xf>
    <xf numFmtId="0" fontId="11" fillId="43" borderId="15" xfId="60" applyFont="1" applyFill="1" applyBorder="1">
      <alignment/>
      <protection/>
    </xf>
    <xf numFmtId="174" fontId="23" fillId="43" borderId="10" xfId="60" applyNumberFormat="1" applyFont="1" applyFill="1" applyBorder="1">
      <alignment/>
      <protection/>
    </xf>
    <xf numFmtId="174" fontId="23" fillId="44" borderId="10" xfId="60" applyNumberFormat="1" applyFont="1" applyFill="1" applyBorder="1">
      <alignment/>
      <protection/>
    </xf>
    <xf numFmtId="174" fontId="11" fillId="43" borderId="26" xfId="60" applyNumberFormat="1" applyFont="1" applyFill="1" applyBorder="1" applyAlignment="1">
      <alignment horizontal="center"/>
      <protection/>
    </xf>
    <xf numFmtId="0" fontId="11" fillId="43" borderId="26" xfId="60" applyFont="1" applyFill="1" applyBorder="1" applyAlignment="1">
      <alignment horizontal="center"/>
      <protection/>
    </xf>
    <xf numFmtId="1" fontId="11" fillId="43" borderId="26" xfId="60" applyNumberFormat="1" applyFont="1" applyFill="1" applyBorder="1" applyAlignment="1">
      <alignment horizontal="center"/>
      <protection/>
    </xf>
    <xf numFmtId="174" fontId="2" fillId="43" borderId="27" xfId="60" applyNumberFormat="1" applyFont="1" applyFill="1" applyBorder="1" applyAlignment="1">
      <alignment horizontal="center"/>
      <protection/>
    </xf>
    <xf numFmtId="0" fontId="2" fillId="43" borderId="22" xfId="60" applyFont="1" applyFill="1" applyBorder="1" applyAlignment="1">
      <alignment horizontal="center"/>
      <protection/>
    </xf>
    <xf numFmtId="1" fontId="2" fillId="43" borderId="22" xfId="60" applyNumberFormat="1" applyFont="1" applyFill="1" applyBorder="1" applyAlignment="1">
      <alignment horizontal="center"/>
      <protection/>
    </xf>
    <xf numFmtId="174" fontId="12" fillId="0" borderId="14" xfId="60" applyNumberFormat="1" applyFont="1" applyFill="1" applyBorder="1" applyAlignment="1">
      <alignment horizontal="right" vertical="center"/>
      <protection/>
    </xf>
    <xf numFmtId="1" fontId="12" fillId="0" borderId="14" xfId="60" applyNumberFormat="1" applyFont="1" applyFill="1" applyBorder="1" applyAlignment="1">
      <alignment horizontal="right" vertical="center"/>
      <protection/>
    </xf>
    <xf numFmtId="174" fontId="11" fillId="43" borderId="22" xfId="60" applyNumberFormat="1" applyFont="1" applyFill="1" applyBorder="1" applyAlignment="1">
      <alignment horizontal="center"/>
      <protection/>
    </xf>
    <xf numFmtId="0" fontId="11" fillId="43" borderId="22" xfId="60" applyFont="1" applyFill="1" applyBorder="1" applyAlignment="1">
      <alignment horizontal="center"/>
      <protection/>
    </xf>
    <xf numFmtId="1" fontId="11" fillId="43" borderId="22" xfId="60" applyNumberFormat="1" applyFont="1" applyFill="1" applyBorder="1" applyAlignment="1">
      <alignment horizontal="center"/>
      <protection/>
    </xf>
    <xf numFmtId="174" fontId="2" fillId="43" borderId="22" xfId="60" applyNumberFormat="1" applyFont="1" applyFill="1" applyBorder="1" applyAlignment="1">
      <alignment horizontal="center"/>
      <protection/>
    </xf>
    <xf numFmtId="0" fontId="17" fillId="43" borderId="10" xfId="60" applyFont="1" applyFill="1" applyBorder="1" applyAlignment="1">
      <alignment horizontal="right"/>
      <protection/>
    </xf>
    <xf numFmtId="0" fontId="35" fillId="43" borderId="10" xfId="60" applyFont="1" applyFill="1" applyBorder="1">
      <alignment/>
      <protection/>
    </xf>
    <xf numFmtId="174" fontId="35" fillId="43" borderId="10" xfId="60" applyNumberFormat="1" applyFont="1" applyFill="1" applyBorder="1">
      <alignment/>
      <protection/>
    </xf>
    <xf numFmtId="0" fontId="10" fillId="43" borderId="14" xfId="60" applyFont="1" applyFill="1" applyBorder="1">
      <alignment/>
      <protection/>
    </xf>
    <xf numFmtId="0" fontId="35" fillId="43" borderId="14" xfId="60" applyFont="1" applyFill="1" applyBorder="1" applyAlignment="1">
      <alignment horizontal="right"/>
      <protection/>
    </xf>
    <xf numFmtId="174" fontId="35" fillId="43" borderId="14" xfId="60" applyNumberFormat="1" applyFont="1" applyFill="1" applyBorder="1" applyAlignment="1">
      <alignment horizontal="right"/>
      <protection/>
    </xf>
    <xf numFmtId="0" fontId="35" fillId="43" borderId="14" xfId="60" applyFont="1" applyFill="1" applyBorder="1">
      <alignment/>
      <protection/>
    </xf>
    <xf numFmtId="1" fontId="35" fillId="43" borderId="14" xfId="60" applyNumberFormat="1" applyFont="1" applyFill="1" applyBorder="1">
      <alignment/>
      <protection/>
    </xf>
    <xf numFmtId="1" fontId="35" fillId="43" borderId="14" xfId="60" applyNumberFormat="1" applyFont="1" applyFill="1" applyBorder="1" applyAlignment="1">
      <alignment horizontal="right"/>
      <protection/>
    </xf>
    <xf numFmtId="0" fontId="10" fillId="43" borderId="14" xfId="60" applyFont="1" applyFill="1" applyBorder="1" applyAlignment="1">
      <alignment horizontal="right"/>
      <protection/>
    </xf>
    <xf numFmtId="0" fontId="15" fillId="43" borderId="10" xfId="60" applyFont="1" applyFill="1" applyBorder="1" applyAlignment="1">
      <alignment horizontal="right"/>
      <protection/>
    </xf>
    <xf numFmtId="0" fontId="23" fillId="43" borderId="10" xfId="60" applyFont="1" applyFill="1" applyBorder="1" applyAlignment="1">
      <alignment horizontal="right"/>
      <protection/>
    </xf>
    <xf numFmtId="174" fontId="23" fillId="43" borderId="10" xfId="60" applyNumberFormat="1" applyFont="1" applyFill="1" applyBorder="1" applyAlignment="1">
      <alignment horizontal="right"/>
      <protection/>
    </xf>
    <xf numFmtId="0" fontId="23" fillId="43" borderId="10" xfId="60" applyFont="1" applyFill="1" applyBorder="1">
      <alignment/>
      <protection/>
    </xf>
    <xf numFmtId="1" fontId="23" fillId="43" borderId="10" xfId="60" applyNumberFormat="1" applyFont="1" applyFill="1" applyBorder="1">
      <alignment/>
      <protection/>
    </xf>
    <xf numFmtId="1" fontId="23" fillId="43" borderId="10" xfId="60" applyNumberFormat="1" applyFont="1" applyFill="1" applyBorder="1" applyAlignment="1">
      <alignment horizontal="right"/>
      <protection/>
    </xf>
    <xf numFmtId="0" fontId="11" fillId="43" borderId="10" xfId="60" applyFont="1" applyFill="1" applyBorder="1" applyAlignment="1">
      <alignment horizontal="right"/>
      <protection/>
    </xf>
    <xf numFmtId="0" fontId="18" fillId="43" borderId="10" xfId="60" applyFont="1" applyFill="1" applyBorder="1">
      <alignment/>
      <protection/>
    </xf>
    <xf numFmtId="174" fontId="15" fillId="43" borderId="10" xfId="60" applyNumberFormat="1" applyFont="1" applyFill="1" applyBorder="1">
      <alignment/>
      <protection/>
    </xf>
    <xf numFmtId="0" fontId="1" fillId="43" borderId="10" xfId="60" applyFont="1" applyFill="1" applyBorder="1" applyAlignment="1">
      <alignment horizontal="right"/>
      <protection/>
    </xf>
    <xf numFmtId="0" fontId="35" fillId="43" borderId="10" xfId="60" applyFont="1" applyFill="1" applyBorder="1" applyAlignment="1">
      <alignment horizontal="right"/>
      <protection/>
    </xf>
    <xf numFmtId="174" fontId="35" fillId="43" borderId="10" xfId="60" applyNumberFormat="1" applyFont="1" applyFill="1" applyBorder="1" applyAlignment="1">
      <alignment horizontal="right"/>
      <protection/>
    </xf>
    <xf numFmtId="1" fontId="35" fillId="43" borderId="10" xfId="60" applyNumberFormat="1" applyFont="1" applyFill="1" applyBorder="1">
      <alignment/>
      <protection/>
    </xf>
    <xf numFmtId="1" fontId="35" fillId="43" borderId="10" xfId="60" applyNumberFormat="1" applyFont="1" applyFill="1" applyBorder="1" applyAlignment="1">
      <alignment horizontal="right"/>
      <protection/>
    </xf>
    <xf numFmtId="0" fontId="10" fillId="43" borderId="10" xfId="60" applyFont="1" applyFill="1" applyBorder="1" applyAlignment="1">
      <alignment horizontal="right"/>
      <protection/>
    </xf>
    <xf numFmtId="2" fontId="35" fillId="43" borderId="10" xfId="60" applyNumberFormat="1" applyFont="1" applyFill="1" applyBorder="1">
      <alignment/>
      <protection/>
    </xf>
    <xf numFmtId="1" fontId="35" fillId="43" borderId="11" xfId="60" applyNumberFormat="1" applyFont="1" applyFill="1" applyBorder="1">
      <alignment/>
      <protection/>
    </xf>
    <xf numFmtId="0" fontId="10" fillId="43" borderId="22" xfId="60" applyFont="1" applyFill="1" applyBorder="1" applyAlignment="1">
      <alignment horizontal="right"/>
      <protection/>
    </xf>
    <xf numFmtId="0" fontId="17" fillId="43" borderId="10" xfId="60" applyFont="1" applyFill="1" applyBorder="1">
      <alignment/>
      <protection/>
    </xf>
    <xf numFmtId="0" fontId="1" fillId="43" borderId="10" xfId="60" applyFont="1" applyFill="1" applyBorder="1">
      <alignment/>
      <protection/>
    </xf>
    <xf numFmtId="1" fontId="15" fillId="43" borderId="10" xfId="60" applyNumberFormat="1" applyFont="1" applyFill="1" applyBorder="1">
      <alignment/>
      <protection/>
    </xf>
    <xf numFmtId="0" fontId="18" fillId="43" borderId="10" xfId="60" applyFont="1" applyFill="1" applyBorder="1" applyAlignment="1">
      <alignment horizontal="right"/>
      <protection/>
    </xf>
    <xf numFmtId="0" fontId="15" fillId="43" borderId="22" xfId="60" applyFont="1" applyFill="1" applyBorder="1" applyAlignment="1">
      <alignment horizontal="right"/>
      <protection/>
    </xf>
    <xf numFmtId="0" fontId="18" fillId="43" borderId="22" xfId="60" applyFont="1" applyFill="1" applyBorder="1">
      <alignment/>
      <protection/>
    </xf>
    <xf numFmtId="0" fontId="19" fillId="43" borderId="22" xfId="60" applyFont="1" applyFill="1" applyBorder="1">
      <alignment/>
      <protection/>
    </xf>
    <xf numFmtId="174" fontId="19" fillId="43" borderId="20" xfId="60" applyNumberFormat="1" applyFont="1" applyFill="1" applyBorder="1" applyAlignment="1">
      <alignment horizontal="right" vertical="center"/>
      <protection/>
    </xf>
    <xf numFmtId="1" fontId="19" fillId="43" borderId="10" xfId="60" applyNumberFormat="1" applyFont="1" applyFill="1" applyBorder="1" applyAlignment="1">
      <alignment horizontal="right" vertical="center"/>
      <protection/>
    </xf>
    <xf numFmtId="0" fontId="1" fillId="43" borderId="15" xfId="60" applyFont="1" applyFill="1" applyBorder="1" applyAlignment="1">
      <alignment horizontal="right"/>
      <protection/>
    </xf>
    <xf numFmtId="0" fontId="18" fillId="43" borderId="15" xfId="60" applyFont="1" applyFill="1" applyBorder="1">
      <alignment/>
      <protection/>
    </xf>
    <xf numFmtId="1" fontId="15" fillId="43" borderId="15" xfId="60" applyNumberFormat="1" applyFont="1" applyFill="1" applyBorder="1">
      <alignment/>
      <protection/>
    </xf>
    <xf numFmtId="0" fontId="36" fillId="43" borderId="10" xfId="60" applyFont="1" applyFill="1" applyBorder="1">
      <alignment/>
      <protection/>
    </xf>
    <xf numFmtId="0" fontId="37" fillId="43" borderId="10" xfId="60" applyFont="1" applyFill="1" applyBorder="1" applyAlignment="1">
      <alignment horizontal="center"/>
      <protection/>
    </xf>
    <xf numFmtId="174" fontId="37" fillId="43" borderId="10" xfId="60" applyNumberFormat="1" applyFont="1" applyFill="1" applyBorder="1" applyAlignment="1">
      <alignment horizontal="center"/>
      <protection/>
    </xf>
    <xf numFmtId="0" fontId="15" fillId="43" borderId="19" xfId="60" applyFont="1" applyFill="1" applyBorder="1">
      <alignment/>
      <protection/>
    </xf>
    <xf numFmtId="0" fontId="3" fillId="43" borderId="10" xfId="60" applyFont="1" applyFill="1" applyBorder="1" applyAlignment="1">
      <alignment horizontal="right"/>
      <protection/>
    </xf>
    <xf numFmtId="0" fontId="1" fillId="43" borderId="14" xfId="60" applyFill="1" applyBorder="1">
      <alignment/>
      <protection/>
    </xf>
    <xf numFmtId="0" fontId="15" fillId="43" borderId="14" xfId="60" applyFont="1" applyFill="1" applyBorder="1">
      <alignment/>
      <protection/>
    </xf>
    <xf numFmtId="0" fontId="15" fillId="43" borderId="15" xfId="60" applyFont="1" applyFill="1" applyBorder="1" applyAlignment="1">
      <alignment horizontal="right"/>
      <protection/>
    </xf>
    <xf numFmtId="0" fontId="15" fillId="43" borderId="22" xfId="60" applyFont="1" applyFill="1" applyBorder="1">
      <alignment/>
      <protection/>
    </xf>
    <xf numFmtId="174" fontId="15" fillId="43" borderId="20" xfId="60" applyNumberFormat="1" applyFont="1" applyFill="1" applyBorder="1">
      <alignment/>
      <protection/>
    </xf>
    <xf numFmtId="0" fontId="15" fillId="45" borderId="14" xfId="60" applyFont="1" applyFill="1" applyBorder="1" applyAlignment="1">
      <alignment horizontal="right"/>
      <protection/>
    </xf>
    <xf numFmtId="0" fontId="18" fillId="45" borderId="14" xfId="60" applyFont="1" applyFill="1" applyBorder="1">
      <alignment/>
      <protection/>
    </xf>
    <xf numFmtId="174" fontId="18" fillId="45" borderId="14" xfId="60" applyNumberFormat="1" applyFont="1" applyFill="1" applyBorder="1">
      <alignment/>
      <protection/>
    </xf>
    <xf numFmtId="1" fontId="18" fillId="45" borderId="14" xfId="60" applyNumberFormat="1" applyFont="1" applyFill="1" applyBorder="1">
      <alignment/>
      <protection/>
    </xf>
    <xf numFmtId="0" fontId="18" fillId="45" borderId="14" xfId="60" applyFont="1" applyFill="1" applyBorder="1" applyAlignment="1">
      <alignment horizontal="right"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1" fillId="43" borderId="22" xfId="60" applyFont="1" applyFill="1" applyBorder="1" applyAlignment="1">
      <alignment horizontal="center" vertical="center"/>
      <protection/>
    </xf>
    <xf numFmtId="0" fontId="12" fillId="43" borderId="22" xfId="60" applyFont="1" applyFill="1" applyBorder="1" applyAlignment="1">
      <alignment horizontal="center" vertical="center"/>
      <protection/>
    </xf>
    <xf numFmtId="0" fontId="13" fillId="43" borderId="22" xfId="60" applyFont="1" applyFill="1" applyBorder="1" applyAlignment="1">
      <alignment horizontal="center" vertical="center"/>
      <protection/>
    </xf>
    <xf numFmtId="0" fontId="11" fillId="43" borderId="22" xfId="60" applyFont="1" applyFill="1" applyBorder="1" applyAlignment="1">
      <alignment horizontal="right"/>
      <protection/>
    </xf>
    <xf numFmtId="174" fontId="11" fillId="43" borderId="22" xfId="60" applyNumberFormat="1" applyFont="1" applyFill="1" applyBorder="1" applyAlignment="1">
      <alignment horizontal="right"/>
      <protection/>
    </xf>
    <xf numFmtId="1" fontId="11" fillId="43" borderId="22" xfId="60" applyNumberFormat="1" applyFont="1" applyFill="1" applyBorder="1" applyAlignment="1">
      <alignment horizontal="right"/>
      <protection/>
    </xf>
    <xf numFmtId="0" fontId="1" fillId="43" borderId="30" xfId="60" applyFont="1" applyFill="1" applyBorder="1" applyAlignment="1">
      <alignment/>
      <protection/>
    </xf>
    <xf numFmtId="0" fontId="45" fillId="43" borderId="22" xfId="60" applyFont="1" applyFill="1" applyBorder="1" applyAlignment="1">
      <alignment horizontal="center"/>
      <protection/>
    </xf>
    <xf numFmtId="174" fontId="18" fillId="43" borderId="22" xfId="60" applyNumberFormat="1" applyFont="1" applyFill="1" applyBorder="1">
      <alignment/>
      <protection/>
    </xf>
    <xf numFmtId="1" fontId="18" fillId="43" borderId="22" xfId="60" applyNumberFormat="1" applyFont="1" applyFill="1" applyBorder="1">
      <alignment/>
      <protection/>
    </xf>
    <xf numFmtId="0" fontId="1" fillId="0" borderId="22" xfId="60" applyFont="1" applyFill="1" applyBorder="1" applyAlignment="1">
      <alignment/>
      <protection/>
    </xf>
    <xf numFmtId="0" fontId="21" fillId="43" borderId="22" xfId="60" applyFont="1" applyFill="1" applyBorder="1" applyAlignment="1">
      <alignment horizontal="center" vertical="center"/>
      <protection/>
    </xf>
    <xf numFmtId="0" fontId="12" fillId="43" borderId="22" xfId="60" applyFont="1" applyFill="1" applyBorder="1">
      <alignment/>
      <protection/>
    </xf>
    <xf numFmtId="0" fontId="11" fillId="43" borderId="27" xfId="60" applyFont="1" applyFill="1" applyBorder="1" applyAlignment="1">
      <alignment horizontal="center"/>
      <protection/>
    </xf>
    <xf numFmtId="0" fontId="11" fillId="43" borderId="23" xfId="60" applyFont="1" applyFill="1" applyBorder="1" applyAlignment="1">
      <alignment horizontal="center"/>
      <protection/>
    </xf>
    <xf numFmtId="0" fontId="11" fillId="43" borderId="22" xfId="60" applyFont="1" applyFill="1" applyBorder="1">
      <alignment/>
      <protection/>
    </xf>
    <xf numFmtId="174" fontId="11" fillId="43" borderId="22" xfId="60" applyNumberFormat="1" applyFont="1" applyFill="1" applyBorder="1">
      <alignment/>
      <protection/>
    </xf>
    <xf numFmtId="1" fontId="11" fillId="43" borderId="22" xfId="60" applyNumberFormat="1" applyFont="1" applyFill="1" applyBorder="1">
      <alignment/>
      <protection/>
    </xf>
    <xf numFmtId="1" fontId="19" fillId="43" borderId="22" xfId="60" applyNumberFormat="1" applyFont="1" applyFill="1" applyBorder="1">
      <alignment/>
      <protection/>
    </xf>
    <xf numFmtId="174" fontId="19" fillId="43" borderId="22" xfId="60" applyNumberFormat="1" applyFont="1" applyFill="1" applyBorder="1">
      <alignment/>
      <protection/>
    </xf>
    <xf numFmtId="0" fontId="135" fillId="0" borderId="13" xfId="60" applyFont="1" applyFill="1" applyBorder="1" applyAlignment="1">
      <alignment horizontal="right"/>
      <protection/>
    </xf>
    <xf numFmtId="0" fontId="136" fillId="0" borderId="13" xfId="60" applyFont="1" applyFill="1" applyBorder="1">
      <alignment/>
      <protection/>
    </xf>
    <xf numFmtId="0" fontId="137" fillId="0" borderId="13" xfId="60" applyFont="1" applyFill="1" applyBorder="1">
      <alignment/>
      <protection/>
    </xf>
    <xf numFmtId="174" fontId="138" fillId="0" borderId="13" xfId="60" applyNumberFormat="1" applyFont="1" applyFill="1" applyBorder="1">
      <alignment/>
      <protection/>
    </xf>
    <xf numFmtId="174" fontId="137" fillId="0" borderId="13" xfId="60" applyNumberFormat="1" applyFont="1" applyFill="1" applyBorder="1">
      <alignment/>
      <protection/>
    </xf>
    <xf numFmtId="1" fontId="137" fillId="0" borderId="13" xfId="60" applyNumberFormat="1" applyFont="1" applyFill="1" applyBorder="1">
      <alignment/>
      <protection/>
    </xf>
    <xf numFmtId="0" fontId="136" fillId="0" borderId="13" xfId="60" applyFont="1" applyFill="1" applyBorder="1" applyAlignment="1">
      <alignment horizontal="right"/>
      <protection/>
    </xf>
    <xf numFmtId="0" fontId="139" fillId="33" borderId="10" xfId="60" applyFont="1" applyFill="1" applyBorder="1" applyAlignment="1">
      <alignment horizontal="right"/>
      <protection/>
    </xf>
    <xf numFmtId="0" fontId="139" fillId="33" borderId="10" xfId="60" applyFont="1" applyFill="1" applyBorder="1">
      <alignment/>
      <protection/>
    </xf>
    <xf numFmtId="174" fontId="139" fillId="33" borderId="10" xfId="60" applyNumberFormat="1" applyFont="1" applyFill="1" applyBorder="1">
      <alignment/>
      <protection/>
    </xf>
    <xf numFmtId="1" fontId="139" fillId="33" borderId="10" xfId="60" applyNumberFormat="1" applyFont="1" applyFill="1" applyBorder="1">
      <alignment/>
      <protection/>
    </xf>
    <xf numFmtId="0" fontId="135" fillId="33" borderId="11" xfId="60" applyFont="1" applyFill="1" applyBorder="1" applyAlignment="1">
      <alignment horizontal="right"/>
      <protection/>
    </xf>
    <xf numFmtId="0" fontId="136" fillId="33" borderId="10" xfId="60" applyFont="1" applyFill="1" applyBorder="1">
      <alignment/>
      <protection/>
    </xf>
    <xf numFmtId="0" fontId="137" fillId="33" borderId="10" xfId="60" applyFont="1" applyFill="1" applyBorder="1" applyAlignment="1">
      <alignment horizontal="left" vertical="center" wrapText="1"/>
      <protection/>
    </xf>
    <xf numFmtId="174" fontId="137" fillId="33" borderId="10" xfId="60" applyNumberFormat="1" applyFont="1" applyFill="1" applyBorder="1" applyAlignment="1">
      <alignment horizontal="center" vertical="center"/>
      <protection/>
    </xf>
    <xf numFmtId="0" fontId="136" fillId="33" borderId="10" xfId="60" applyFont="1" applyFill="1" applyBorder="1" applyAlignment="1">
      <alignment horizontal="right" vertical="center"/>
      <protection/>
    </xf>
    <xf numFmtId="0" fontId="135" fillId="0" borderId="14" xfId="60" applyFont="1" applyFill="1" applyBorder="1" applyAlignment="1">
      <alignment horizontal="right"/>
      <protection/>
    </xf>
    <xf numFmtId="0" fontId="140" fillId="0" borderId="10" xfId="60" applyFont="1" applyFill="1" applyBorder="1">
      <alignment/>
      <protection/>
    </xf>
    <xf numFmtId="174" fontId="140" fillId="0" borderId="10" xfId="60" applyNumberFormat="1" applyFont="1" applyFill="1" applyBorder="1" applyAlignment="1">
      <alignment horizontal="right" vertical="center"/>
      <protection/>
    </xf>
    <xf numFmtId="1" fontId="140" fillId="0" borderId="10" xfId="60" applyNumberFormat="1" applyFont="1" applyFill="1" applyBorder="1" applyAlignment="1">
      <alignment horizontal="right" vertical="center"/>
      <protection/>
    </xf>
    <xf numFmtId="1" fontId="140" fillId="0" borderId="10" xfId="60" applyNumberFormat="1" applyFont="1" applyFill="1" applyBorder="1">
      <alignment/>
      <protection/>
    </xf>
    <xf numFmtId="0" fontId="135" fillId="0" borderId="10" xfId="60" applyFont="1" applyFill="1" applyBorder="1" applyAlignment="1">
      <alignment horizontal="right"/>
      <protection/>
    </xf>
    <xf numFmtId="0" fontId="135" fillId="0" borderId="15" xfId="60" applyFont="1" applyFill="1" applyBorder="1" applyAlignment="1">
      <alignment horizontal="right"/>
      <protection/>
    </xf>
    <xf numFmtId="0" fontId="140" fillId="0" borderId="15" xfId="60" applyFont="1" applyFill="1" applyBorder="1">
      <alignment/>
      <protection/>
    </xf>
    <xf numFmtId="174" fontId="140" fillId="0" borderId="15" xfId="60" applyNumberFormat="1" applyFont="1" applyFill="1" applyBorder="1" applyAlignment="1">
      <alignment horizontal="right" vertical="center"/>
      <protection/>
    </xf>
    <xf numFmtId="1" fontId="140" fillId="0" borderId="15" xfId="60" applyNumberFormat="1" applyFont="1" applyFill="1" applyBorder="1" applyAlignment="1">
      <alignment horizontal="right" vertical="center"/>
      <protection/>
    </xf>
    <xf numFmtId="1" fontId="140" fillId="0" borderId="15" xfId="60" applyNumberFormat="1" applyFont="1" applyFill="1" applyBorder="1">
      <alignment/>
      <protection/>
    </xf>
    <xf numFmtId="0" fontId="135" fillId="33" borderId="15" xfId="60" applyFont="1" applyFill="1" applyBorder="1" applyAlignment="1">
      <alignment horizontal="right"/>
      <protection/>
    </xf>
    <xf numFmtId="0" fontId="141" fillId="33" borderId="15" xfId="60" applyFont="1" applyFill="1" applyBorder="1">
      <alignment/>
      <protection/>
    </xf>
    <xf numFmtId="0" fontId="135" fillId="0" borderId="16" xfId="60" applyFont="1" applyFill="1" applyBorder="1" applyAlignment="1">
      <alignment horizontal="right"/>
      <protection/>
    </xf>
    <xf numFmtId="0" fontId="136" fillId="0" borderId="16" xfId="60" applyFont="1" applyFill="1" applyBorder="1">
      <alignment/>
      <protection/>
    </xf>
    <xf numFmtId="0" fontId="137" fillId="0" borderId="16" xfId="60" applyFont="1" applyFill="1" applyBorder="1">
      <alignment/>
      <protection/>
    </xf>
    <xf numFmtId="174" fontId="137" fillId="0" borderId="16" xfId="60" applyNumberFormat="1" applyFont="1" applyFill="1" applyBorder="1">
      <alignment/>
      <protection/>
    </xf>
    <xf numFmtId="1" fontId="137" fillId="0" borderId="16" xfId="60" applyNumberFormat="1" applyFont="1" applyFill="1" applyBorder="1">
      <alignment/>
      <protection/>
    </xf>
    <xf numFmtId="0" fontId="136" fillId="0" borderId="16" xfId="60" applyFont="1" applyFill="1" applyBorder="1" applyAlignment="1">
      <alignment horizontal="right"/>
      <protection/>
    </xf>
    <xf numFmtId="1" fontId="140" fillId="0" borderId="22" xfId="60" applyNumberFormat="1" applyFont="1" applyFill="1" applyBorder="1" applyAlignment="1">
      <alignment horizontal="right"/>
      <protection/>
    </xf>
    <xf numFmtId="0" fontId="135" fillId="0" borderId="0" xfId="60" applyFont="1" applyFill="1">
      <alignment/>
      <protection/>
    </xf>
    <xf numFmtId="0" fontId="140" fillId="0" borderId="10" xfId="60" applyFont="1" applyFill="1" applyBorder="1" applyAlignment="1">
      <alignment horizontal="right"/>
      <protection/>
    </xf>
    <xf numFmtId="0" fontId="140" fillId="0" borderId="15" xfId="60" applyFont="1" applyFill="1" applyBorder="1" applyAlignment="1">
      <alignment horizontal="right"/>
      <protection/>
    </xf>
    <xf numFmtId="1" fontId="137" fillId="0" borderId="0" xfId="60" applyNumberFormat="1" applyFont="1" applyFill="1">
      <alignment/>
      <protection/>
    </xf>
    <xf numFmtId="0" fontId="135" fillId="0" borderId="15" xfId="60" applyFont="1" applyFill="1" applyBorder="1" applyAlignment="1">
      <alignment horizontal="right" vertical="center"/>
      <protection/>
    </xf>
    <xf numFmtId="0" fontId="135" fillId="0" borderId="22" xfId="60" applyFont="1" applyFill="1" applyBorder="1" applyAlignment="1">
      <alignment horizontal="right" vertical="center"/>
      <protection/>
    </xf>
    <xf numFmtId="0" fontId="140" fillId="0" borderId="22" xfId="60" applyFont="1" applyFill="1" applyBorder="1">
      <alignment/>
      <protection/>
    </xf>
    <xf numFmtId="0" fontId="140" fillId="0" borderId="20" xfId="60" applyFont="1" applyFill="1" applyBorder="1">
      <alignment/>
      <protection/>
    </xf>
    <xf numFmtId="0" fontId="140" fillId="0" borderId="21" xfId="60" applyFont="1" applyFill="1" applyBorder="1">
      <alignment/>
      <protection/>
    </xf>
    <xf numFmtId="0" fontId="135" fillId="0" borderId="22" xfId="60" applyFont="1" applyFill="1" applyBorder="1">
      <alignment/>
      <protection/>
    </xf>
    <xf numFmtId="0" fontId="135" fillId="33" borderId="12" xfId="60" applyFont="1" applyFill="1" applyBorder="1" applyAlignment="1">
      <alignment horizontal="right"/>
      <protection/>
    </xf>
    <xf numFmtId="0" fontId="141" fillId="33" borderId="12" xfId="60" applyFont="1" applyFill="1" applyBorder="1">
      <alignment/>
      <protection/>
    </xf>
    <xf numFmtId="0" fontId="135" fillId="33" borderId="10" xfId="60" applyFont="1" applyFill="1" applyBorder="1" applyAlignment="1">
      <alignment horizontal="right"/>
      <protection/>
    </xf>
    <xf numFmtId="0" fontId="141" fillId="33" borderId="10" xfId="60" applyFont="1" applyFill="1" applyBorder="1">
      <alignment/>
      <protection/>
    </xf>
    <xf numFmtId="0" fontId="135" fillId="0" borderId="0" xfId="60" applyFont="1" applyFill="1" applyBorder="1" applyAlignment="1">
      <alignment horizontal="right"/>
      <protection/>
    </xf>
    <xf numFmtId="0" fontId="136" fillId="0" borderId="0" xfId="60" applyFont="1" applyFill="1" applyBorder="1">
      <alignment/>
      <protection/>
    </xf>
    <xf numFmtId="0" fontId="137" fillId="0" borderId="0" xfId="60" applyFont="1" applyFill="1" applyBorder="1">
      <alignment/>
      <protection/>
    </xf>
    <xf numFmtId="174" fontId="137" fillId="0" borderId="0" xfId="60" applyNumberFormat="1" applyFont="1" applyFill="1" applyBorder="1">
      <alignment/>
      <protection/>
    </xf>
    <xf numFmtId="1" fontId="137" fillId="0" borderId="0" xfId="60" applyNumberFormat="1" applyFont="1" applyFill="1" applyBorder="1">
      <alignment/>
      <protection/>
    </xf>
    <xf numFmtId="0" fontId="136" fillId="0" borderId="0" xfId="60" applyFont="1" applyFill="1" applyBorder="1" applyAlignment="1">
      <alignment horizontal="right"/>
      <protection/>
    </xf>
    <xf numFmtId="1" fontId="136" fillId="0" borderId="13" xfId="60" applyNumberFormat="1" applyFont="1" applyFill="1" applyBorder="1" applyAlignment="1">
      <alignment horizontal="right"/>
      <protection/>
    </xf>
    <xf numFmtId="0" fontId="135" fillId="0" borderId="10" xfId="60" applyFont="1" applyFill="1" applyBorder="1" applyAlignment="1">
      <alignment horizontal="right" vertical="center" wrapText="1"/>
      <protection/>
    </xf>
    <xf numFmtId="2" fontId="140" fillId="0" borderId="10" xfId="60" applyNumberFormat="1" applyFont="1" applyFill="1" applyBorder="1" applyAlignment="1">
      <alignment horizontal="right" vertical="center"/>
      <protection/>
    </xf>
    <xf numFmtId="0" fontId="135" fillId="0" borderId="0" xfId="60" applyFont="1">
      <alignment/>
      <protection/>
    </xf>
    <xf numFmtId="0" fontId="135" fillId="33" borderId="17" xfId="60" applyFont="1" applyFill="1" applyBorder="1" applyAlignment="1">
      <alignment horizontal="right"/>
      <protection/>
    </xf>
    <xf numFmtId="0" fontId="136" fillId="33" borderId="15" xfId="60" applyFont="1" applyFill="1" applyBorder="1">
      <alignment/>
      <protection/>
    </xf>
    <xf numFmtId="0" fontId="137" fillId="33" borderId="15" xfId="60" applyFont="1" applyFill="1" applyBorder="1" applyAlignment="1">
      <alignment horizontal="left" vertical="center" wrapText="1"/>
      <protection/>
    </xf>
    <xf numFmtId="174" fontId="137" fillId="33" borderId="15" xfId="60" applyNumberFormat="1" applyFont="1" applyFill="1" applyBorder="1" applyAlignment="1">
      <alignment horizontal="center" vertical="center"/>
      <protection/>
    </xf>
    <xf numFmtId="0" fontId="136" fillId="33" borderId="15" xfId="60" applyFont="1" applyFill="1" applyBorder="1" applyAlignment="1">
      <alignment horizontal="right" vertical="center"/>
      <protection/>
    </xf>
    <xf numFmtId="176" fontId="140" fillId="0" borderId="10" xfId="42" applyNumberFormat="1" applyFont="1" applyFill="1" applyBorder="1" applyAlignment="1" applyProtection="1">
      <alignment/>
      <protection/>
    </xf>
    <xf numFmtId="1" fontId="140" fillId="0" borderId="10" xfId="60" applyNumberFormat="1" applyFont="1" applyFill="1" applyBorder="1" applyAlignment="1">
      <alignment horizontal="right"/>
      <protection/>
    </xf>
    <xf numFmtId="1" fontId="140" fillId="34" borderId="10" xfId="60" applyNumberFormat="1" applyFont="1" applyFill="1" applyBorder="1">
      <alignment/>
      <protection/>
    </xf>
    <xf numFmtId="0" fontId="142" fillId="0" borderId="0" xfId="60" applyFont="1" applyFill="1" applyAlignment="1">
      <alignment horizontal="center" vertical="center"/>
      <protection/>
    </xf>
    <xf numFmtId="0" fontId="143" fillId="0" borderId="0" xfId="60" applyFont="1" applyFill="1" applyAlignment="1">
      <alignment horizontal="center" vertical="center"/>
      <protection/>
    </xf>
    <xf numFmtId="173" fontId="144" fillId="0" borderId="0" xfId="60" applyNumberFormat="1" applyFont="1" applyFill="1" applyBorder="1" applyAlignment="1">
      <alignment horizontal="right" vertical="center"/>
      <protection/>
    </xf>
    <xf numFmtId="0" fontId="142" fillId="0" borderId="0" xfId="60" applyFont="1" applyFill="1" applyBorder="1">
      <alignment/>
      <protection/>
    </xf>
    <xf numFmtId="0" fontId="145" fillId="0" borderId="0" xfId="60" applyFont="1" applyFill="1" applyBorder="1">
      <alignment/>
      <protection/>
    </xf>
    <xf numFmtId="0" fontId="146" fillId="0" borderId="0" xfId="60" applyFont="1" applyFill="1" applyBorder="1">
      <alignment/>
      <protection/>
    </xf>
    <xf numFmtId="0" fontId="147" fillId="0" borderId="0" xfId="60" applyFont="1" applyFill="1" applyBorder="1">
      <alignment/>
      <protection/>
    </xf>
    <xf numFmtId="0" fontId="139" fillId="0" borderId="10" xfId="60" applyFont="1" applyFill="1" applyBorder="1" applyAlignment="1">
      <alignment horizontal="center" vertical="center"/>
      <protection/>
    </xf>
    <xf numFmtId="0" fontId="139" fillId="43" borderId="10" xfId="60" applyFont="1" applyFill="1" applyBorder="1" applyAlignment="1">
      <alignment horizontal="center" vertical="center"/>
      <protection/>
    </xf>
    <xf numFmtId="0" fontId="136" fillId="0" borderId="10" xfId="60" applyFont="1" applyFill="1" applyBorder="1">
      <alignment/>
      <protection/>
    </xf>
    <xf numFmtId="0" fontId="137" fillId="0" borderId="10" xfId="60" applyFont="1" applyFill="1" applyBorder="1" applyAlignment="1">
      <alignment horizontal="left" vertical="center" wrapText="1"/>
      <protection/>
    </xf>
    <xf numFmtId="0" fontId="140" fillId="0" borderId="10" xfId="60" applyFont="1" applyFill="1" applyBorder="1" applyAlignment="1">
      <alignment horizontal="center" vertical="center"/>
      <protection/>
    </xf>
    <xf numFmtId="0" fontId="148" fillId="0" borderId="10" xfId="60" applyFont="1" applyFill="1" applyBorder="1" applyAlignment="1">
      <alignment horizontal="center" vertical="center"/>
      <protection/>
    </xf>
    <xf numFmtId="0" fontId="136" fillId="43" borderId="10" xfId="60" applyFont="1" applyFill="1" applyBorder="1">
      <alignment/>
      <protection/>
    </xf>
    <xf numFmtId="0" fontId="137" fillId="43" borderId="10" xfId="60" applyFont="1" applyFill="1" applyBorder="1" applyAlignment="1">
      <alignment horizontal="left" vertical="center" wrapText="1"/>
      <protection/>
    </xf>
    <xf numFmtId="0" fontId="140" fillId="43" borderId="10" xfId="60" applyFont="1" applyFill="1" applyBorder="1" applyAlignment="1">
      <alignment horizontal="center" vertical="center"/>
      <protection/>
    </xf>
    <xf numFmtId="0" fontId="148" fillId="43" borderId="10" xfId="60" applyFont="1" applyFill="1" applyBorder="1" applyAlignment="1">
      <alignment horizontal="center" vertical="center"/>
      <protection/>
    </xf>
    <xf numFmtId="0" fontId="142" fillId="0" borderId="10" xfId="60" applyFont="1" applyFill="1" applyBorder="1">
      <alignment/>
      <protection/>
    </xf>
    <xf numFmtId="0" fontId="136" fillId="0" borderId="10" xfId="60" applyFont="1" applyFill="1" applyBorder="1" applyAlignment="1">
      <alignment vertical="top" wrapText="1"/>
      <protection/>
    </xf>
    <xf numFmtId="2" fontId="140" fillId="0" borderId="10" xfId="60" applyNumberFormat="1" applyFont="1" applyFill="1" applyBorder="1">
      <alignment/>
      <protection/>
    </xf>
    <xf numFmtId="0" fontId="140" fillId="0" borderId="10" xfId="60" applyFont="1" applyFill="1" applyBorder="1" applyAlignment="1">
      <alignment horizontal="right" vertical="center"/>
      <protection/>
    </xf>
    <xf numFmtId="2" fontId="140" fillId="0" borderId="10" xfId="60" applyNumberFormat="1" applyFont="1" applyFill="1" applyBorder="1" applyAlignment="1">
      <alignment vertical="center"/>
      <protection/>
    </xf>
    <xf numFmtId="1" fontId="140" fillId="0" borderId="10" xfId="60" applyNumberFormat="1" applyFont="1" applyFill="1" applyBorder="1" applyAlignment="1">
      <alignment vertical="center"/>
      <protection/>
    </xf>
    <xf numFmtId="0" fontId="142" fillId="0" borderId="11" xfId="60" applyFont="1" applyFill="1" applyBorder="1">
      <alignment/>
      <protection/>
    </xf>
    <xf numFmtId="0" fontId="136" fillId="0" borderId="10" xfId="60" applyNumberFormat="1" applyFont="1" applyFill="1" applyBorder="1" applyAlignment="1" applyProtection="1">
      <alignment/>
      <protection/>
    </xf>
    <xf numFmtId="0" fontId="138" fillId="0" borderId="10" xfId="60" applyFont="1" applyFill="1" applyBorder="1" applyAlignment="1">
      <alignment horizontal="right"/>
      <protection/>
    </xf>
    <xf numFmtId="0" fontId="138" fillId="0" borderId="10" xfId="60" applyFont="1" applyFill="1" applyBorder="1">
      <alignment/>
      <protection/>
    </xf>
    <xf numFmtId="1" fontId="138" fillId="0" borderId="10" xfId="60" applyNumberFormat="1" applyFont="1" applyFill="1" applyBorder="1">
      <alignment/>
      <protection/>
    </xf>
    <xf numFmtId="0" fontId="138" fillId="0" borderId="10" xfId="60" applyFont="1" applyFill="1" applyBorder="1" applyAlignment="1">
      <alignment horizontal="center"/>
      <protection/>
    </xf>
    <xf numFmtId="0" fontId="142" fillId="43" borderId="11" xfId="60" applyFont="1" applyFill="1" applyBorder="1">
      <alignment/>
      <protection/>
    </xf>
    <xf numFmtId="0" fontId="136" fillId="43" borderId="10" xfId="60" applyNumberFormat="1" applyFont="1" applyFill="1" applyBorder="1" applyAlignment="1" applyProtection="1">
      <alignment/>
      <protection/>
    </xf>
    <xf numFmtId="0" fontId="138" fillId="43" borderId="10" xfId="60" applyFont="1" applyFill="1" applyBorder="1" applyAlignment="1">
      <alignment horizontal="right"/>
      <protection/>
    </xf>
    <xf numFmtId="0" fontId="138" fillId="43" borderId="10" xfId="60" applyFont="1" applyFill="1" applyBorder="1">
      <alignment/>
      <protection/>
    </xf>
    <xf numFmtId="1" fontId="138" fillId="43" borderId="10" xfId="60" applyNumberFormat="1" applyFont="1" applyFill="1" applyBorder="1">
      <alignment/>
      <protection/>
    </xf>
    <xf numFmtId="2" fontId="137" fillId="0" borderId="0" xfId="60" applyNumberFormat="1" applyFont="1" applyFill="1" applyBorder="1">
      <alignment/>
      <protection/>
    </xf>
    <xf numFmtId="174" fontId="140" fillId="0" borderId="10" xfId="60" applyNumberFormat="1" applyFont="1" applyFill="1" applyBorder="1">
      <alignment/>
      <protection/>
    </xf>
    <xf numFmtId="174" fontId="140" fillId="0" borderId="10" xfId="60" applyNumberFormat="1" applyFont="1" applyFill="1" applyBorder="1" applyAlignment="1">
      <alignment horizontal="right"/>
      <protection/>
    </xf>
    <xf numFmtId="3" fontId="140" fillId="0" borderId="10" xfId="60" applyNumberFormat="1" applyFont="1" applyFill="1" applyBorder="1" applyAlignment="1">
      <alignment horizontal="right"/>
      <protection/>
    </xf>
    <xf numFmtId="0" fontId="149" fillId="0" borderId="0" xfId="60" applyFont="1" applyFill="1">
      <alignment/>
      <protection/>
    </xf>
    <xf numFmtId="0" fontId="135" fillId="0" borderId="0" xfId="60" applyFont="1" applyFill="1" applyBorder="1">
      <alignment/>
      <protection/>
    </xf>
    <xf numFmtId="0" fontId="140" fillId="0" borderId="10" xfId="60" applyNumberFormat="1" applyFont="1" applyFill="1" applyBorder="1" applyAlignment="1">
      <alignment horizontal="right"/>
      <protection/>
    </xf>
    <xf numFmtId="174" fontId="138" fillId="0" borderId="10" xfId="60" applyNumberFormat="1" applyFont="1" applyFill="1" applyBorder="1">
      <alignment/>
      <protection/>
    </xf>
    <xf numFmtId="0" fontId="142" fillId="43" borderId="10" xfId="60" applyFont="1" applyFill="1" applyBorder="1">
      <alignment/>
      <protection/>
    </xf>
    <xf numFmtId="174" fontId="138" fillId="43" borderId="10" xfId="60" applyNumberFormat="1" applyFont="1" applyFill="1" applyBorder="1">
      <alignment/>
      <protection/>
    </xf>
    <xf numFmtId="0" fontId="142" fillId="0" borderId="12" xfId="60" applyFont="1" applyFill="1" applyBorder="1">
      <alignment/>
      <protection/>
    </xf>
    <xf numFmtId="0" fontId="140" fillId="0" borderId="10" xfId="60" applyFont="1" applyFill="1" applyBorder="1" applyAlignment="1">
      <alignment vertical="center"/>
      <protection/>
    </xf>
    <xf numFmtId="174" fontId="140" fillId="0" borderId="10" xfId="60" applyNumberFormat="1" applyFont="1" applyFill="1" applyBorder="1" applyAlignment="1">
      <alignment vertical="center"/>
      <protection/>
    </xf>
    <xf numFmtId="0" fontId="142" fillId="0" borderId="13" xfId="60" applyFont="1" applyFill="1" applyBorder="1">
      <alignment/>
      <protection/>
    </xf>
    <xf numFmtId="0" fontId="147" fillId="0" borderId="13" xfId="60" applyFont="1" applyFill="1" applyBorder="1">
      <alignment/>
      <protection/>
    </xf>
    <xf numFmtId="0" fontId="142" fillId="0" borderId="10" xfId="60" applyFont="1" applyFill="1" applyBorder="1" applyAlignment="1">
      <alignment horizontal="center" vertical="top" wrapText="1"/>
      <protection/>
    </xf>
    <xf numFmtId="1" fontId="140" fillId="0" borderId="10" xfId="60" applyNumberFormat="1" applyFont="1" applyFill="1" applyBorder="1" applyAlignment="1">
      <alignment horizontal="center"/>
      <protection/>
    </xf>
    <xf numFmtId="0" fontId="150" fillId="0" borderId="0" xfId="60" applyFont="1" applyFill="1" applyBorder="1">
      <alignment/>
      <protection/>
    </xf>
    <xf numFmtId="0" fontId="138" fillId="0" borderId="0" xfId="60" applyFont="1" applyFill="1" applyBorder="1" applyAlignment="1">
      <alignment horizontal="right"/>
      <protection/>
    </xf>
    <xf numFmtId="0" fontId="138" fillId="0" borderId="0" xfId="60" applyFont="1" applyFill="1" applyBorder="1">
      <alignment/>
      <protection/>
    </xf>
    <xf numFmtId="1" fontId="138" fillId="0" borderId="0" xfId="60" applyNumberFormat="1" applyFont="1" applyFill="1" applyBorder="1">
      <alignment/>
      <protection/>
    </xf>
    <xf numFmtId="0" fontId="140" fillId="0" borderId="10" xfId="0" applyNumberFormat="1" applyFont="1" applyFill="1" applyBorder="1" applyAlignment="1">
      <alignment horizontal="right" vertical="center" wrapText="1"/>
    </xf>
    <xf numFmtId="174" fontId="140" fillId="0" borderId="10" xfId="0" applyNumberFormat="1" applyFont="1" applyFill="1" applyBorder="1" applyAlignment="1">
      <alignment horizontal="right" vertical="center" wrapText="1"/>
    </xf>
    <xf numFmtId="0" fontId="140" fillId="0" borderId="10" xfId="0" applyNumberFormat="1" applyFont="1" applyBorder="1" applyAlignment="1">
      <alignment horizontal="right" vertical="center" wrapText="1"/>
    </xf>
    <xf numFmtId="174" fontId="140" fillId="0" borderId="10" xfId="0" applyNumberFormat="1" applyFont="1" applyBorder="1" applyAlignment="1">
      <alignment horizontal="right" vertical="center" wrapText="1"/>
    </xf>
    <xf numFmtId="0" fontId="140" fillId="0" borderId="10" xfId="60" applyNumberFormat="1" applyFont="1" applyFill="1" applyBorder="1" applyAlignment="1">
      <alignment horizontal="right" vertical="center" wrapText="1"/>
      <protection/>
    </xf>
    <xf numFmtId="2" fontId="140" fillId="0" borderId="10" xfId="0" applyNumberFormat="1" applyFont="1" applyFill="1" applyBorder="1" applyAlignment="1">
      <alignment horizontal="right" vertical="center" wrapText="1"/>
    </xf>
    <xf numFmtId="0" fontId="147" fillId="0" borderId="10" xfId="0" applyFont="1" applyFill="1" applyBorder="1" applyAlignment="1">
      <alignment horizontal="right"/>
    </xf>
    <xf numFmtId="1" fontId="140" fillId="0" borderId="10" xfId="0" applyNumberFormat="1" applyFont="1" applyBorder="1" applyAlignment="1">
      <alignment horizontal="right" vertical="center" wrapText="1"/>
    </xf>
    <xf numFmtId="0" fontId="140" fillId="0" borderId="10" xfId="0" applyNumberFormat="1" applyFont="1" applyFill="1" applyBorder="1" applyAlignment="1">
      <alignment horizontal="center" vertical="center" wrapText="1"/>
    </xf>
    <xf numFmtId="1" fontId="147" fillId="0" borderId="10" xfId="0" applyNumberFormat="1" applyFont="1" applyFill="1" applyBorder="1" applyAlignment="1">
      <alignment/>
    </xf>
    <xf numFmtId="0" fontId="147" fillId="0" borderId="10" xfId="0" applyFont="1" applyFill="1" applyBorder="1" applyAlignment="1">
      <alignment/>
    </xf>
    <xf numFmtId="1" fontId="147" fillId="0" borderId="10" xfId="60" applyNumberFormat="1" applyFont="1" applyFill="1" applyBorder="1">
      <alignment/>
      <protection/>
    </xf>
    <xf numFmtId="2" fontId="138" fillId="0" borderId="10" xfId="60" applyNumberFormat="1" applyFont="1" applyFill="1" applyBorder="1">
      <alignment/>
      <protection/>
    </xf>
    <xf numFmtId="0" fontId="140" fillId="0" borderId="10" xfId="60" applyFont="1" applyFill="1" applyBorder="1" applyAlignment="1">
      <alignment/>
      <protection/>
    </xf>
    <xf numFmtId="174" fontId="140" fillId="0" borderId="10" xfId="60" applyNumberFormat="1" applyFont="1" applyFill="1" applyBorder="1" applyAlignment="1">
      <alignment/>
      <protection/>
    </xf>
    <xf numFmtId="1" fontId="140" fillId="0" borderId="10" xfId="60" applyNumberFormat="1" applyFont="1" applyFill="1" applyBorder="1" applyAlignment="1">
      <alignment/>
      <protection/>
    </xf>
    <xf numFmtId="2" fontId="140" fillId="0" borderId="10" xfId="60" applyNumberFormat="1" applyFont="1" applyFill="1" applyBorder="1" applyAlignment="1">
      <alignment/>
      <protection/>
    </xf>
    <xf numFmtId="0" fontId="141" fillId="0" borderId="10" xfId="60" applyFont="1" applyFill="1" applyBorder="1" applyAlignment="1">
      <alignment vertical="top" wrapText="1"/>
      <protection/>
    </xf>
    <xf numFmtId="1" fontId="136" fillId="0" borderId="22" xfId="60" applyNumberFormat="1" applyFont="1" applyBorder="1" applyAlignment="1">
      <alignment horizontal="right"/>
      <protection/>
    </xf>
    <xf numFmtId="1" fontId="136" fillId="0" borderId="22" xfId="60" applyNumberFormat="1" applyFont="1" applyFill="1" applyBorder="1" applyAlignment="1">
      <alignment horizontal="right"/>
      <protection/>
    </xf>
    <xf numFmtId="1" fontId="140" fillId="0" borderId="22" xfId="60" applyNumberFormat="1" applyFont="1" applyFill="1" applyBorder="1" applyAlignment="1">
      <alignment/>
      <protection/>
    </xf>
    <xf numFmtId="0" fontId="140" fillId="0" borderId="22" xfId="60" applyFont="1" applyBorder="1" applyAlignment="1">
      <alignment horizontal="right" wrapText="1"/>
      <protection/>
    </xf>
    <xf numFmtId="174" fontId="140" fillId="0" borderId="22" xfId="60" applyNumberFormat="1" applyFont="1" applyBorder="1" applyAlignment="1">
      <alignment horizontal="right" wrapText="1"/>
      <protection/>
    </xf>
    <xf numFmtId="0" fontId="140" fillId="0" borderId="22" xfId="60" applyFont="1" applyFill="1" applyBorder="1" applyAlignment="1">
      <alignment/>
      <protection/>
    </xf>
    <xf numFmtId="174" fontId="140" fillId="0" borderId="22" xfId="60" applyNumberFormat="1" applyFont="1" applyFill="1" applyBorder="1" applyAlignment="1">
      <alignment/>
      <protection/>
    </xf>
    <xf numFmtId="0" fontId="151" fillId="0" borderId="0" xfId="60" applyFont="1" applyFill="1">
      <alignment/>
      <protection/>
    </xf>
    <xf numFmtId="0" fontId="142" fillId="0" borderId="10" xfId="60" applyFont="1" applyFill="1" applyBorder="1" applyAlignment="1">
      <alignment vertical="center"/>
      <protection/>
    </xf>
    <xf numFmtId="174" fontId="140" fillId="0" borderId="15" xfId="60" applyNumberFormat="1" applyFont="1" applyFill="1" applyBorder="1" applyAlignment="1">
      <alignment horizontal="right"/>
      <protection/>
    </xf>
    <xf numFmtId="1" fontId="140" fillId="0" borderId="15" xfId="60" applyNumberFormat="1" applyFont="1" applyFill="1" applyBorder="1" applyAlignment="1">
      <alignment horizontal="right"/>
      <protection/>
    </xf>
    <xf numFmtId="0" fontId="136" fillId="0" borderId="11" xfId="60" applyFont="1" applyFill="1" applyBorder="1" applyAlignment="1">
      <alignment vertical="top" wrapText="1"/>
      <protection/>
    </xf>
    <xf numFmtId="0" fontId="140" fillId="0" borderId="22" xfId="60" applyFont="1" applyFill="1" applyBorder="1" applyAlignment="1">
      <alignment horizontal="right"/>
      <protection/>
    </xf>
    <xf numFmtId="174" fontId="140" fillId="0" borderId="22" xfId="60" applyNumberFormat="1" applyFont="1" applyFill="1" applyBorder="1" applyAlignment="1">
      <alignment horizontal="right"/>
      <protection/>
    </xf>
    <xf numFmtId="0" fontId="137" fillId="0" borderId="22" xfId="60" applyFont="1" applyFill="1" applyBorder="1">
      <alignment/>
      <protection/>
    </xf>
    <xf numFmtId="2" fontId="137" fillId="0" borderId="22" xfId="60" applyNumberFormat="1" applyFont="1" applyFill="1" applyBorder="1">
      <alignment/>
      <protection/>
    </xf>
    <xf numFmtId="1" fontId="137" fillId="0" borderId="22" xfId="60" applyNumberFormat="1" applyFont="1" applyFill="1" applyBorder="1">
      <alignment/>
      <protection/>
    </xf>
    <xf numFmtId="0" fontId="147" fillId="0" borderId="22" xfId="60" applyFont="1" applyFill="1" applyBorder="1">
      <alignment/>
      <protection/>
    </xf>
    <xf numFmtId="0" fontId="138" fillId="43" borderId="14" xfId="60" applyFont="1" applyFill="1" applyBorder="1">
      <alignment/>
      <protection/>
    </xf>
    <xf numFmtId="174" fontId="138" fillId="43" borderId="14" xfId="60" applyNumberFormat="1" applyFont="1" applyFill="1" applyBorder="1">
      <alignment/>
      <protection/>
    </xf>
    <xf numFmtId="1" fontId="138" fillId="43" borderId="14" xfId="60" applyNumberFormat="1" applyFont="1" applyFill="1" applyBorder="1">
      <alignment/>
      <protection/>
    </xf>
    <xf numFmtId="0" fontId="151" fillId="0" borderId="22" xfId="60" applyFont="1" applyFill="1" applyBorder="1">
      <alignment/>
      <protection/>
    </xf>
    <xf numFmtId="0" fontId="136" fillId="0" borderId="22" xfId="60" applyFont="1" applyFill="1" applyBorder="1" applyAlignment="1">
      <alignment vertical="top" wrapText="1"/>
      <protection/>
    </xf>
    <xf numFmtId="0" fontId="140" fillId="0" borderId="27" xfId="60" applyFont="1" applyFill="1" applyBorder="1" applyAlignment="1">
      <alignment vertical="center"/>
      <protection/>
    </xf>
    <xf numFmtId="0" fontId="140" fillId="0" borderId="22" xfId="60" applyFont="1" applyFill="1" applyBorder="1" applyAlignment="1">
      <alignment horizontal="right" vertical="center" wrapText="1"/>
      <protection/>
    </xf>
    <xf numFmtId="0" fontId="140" fillId="0" borderId="23" xfId="60" applyFont="1" applyFill="1" applyBorder="1" applyAlignment="1">
      <alignment horizontal="right" vertical="center" wrapText="1"/>
      <protection/>
    </xf>
    <xf numFmtId="0" fontId="140" fillId="0" borderId="22" xfId="60" applyFont="1" applyFill="1" applyBorder="1" applyAlignment="1">
      <alignment vertical="center"/>
      <protection/>
    </xf>
    <xf numFmtId="0" fontId="140" fillId="0" borderId="10" xfId="60" applyFont="1" applyFill="1" applyBorder="1" applyAlignment="1">
      <alignment horizontal="right" vertical="center" wrapText="1"/>
      <protection/>
    </xf>
    <xf numFmtId="0" fontId="140" fillId="0" borderId="14" xfId="60" applyFont="1" applyFill="1" applyBorder="1" applyAlignment="1">
      <alignment horizontal="right" vertical="center" wrapText="1"/>
      <protection/>
    </xf>
    <xf numFmtId="0" fontId="142" fillId="0" borderId="22" xfId="60" applyFont="1" applyFill="1" applyBorder="1">
      <alignment/>
      <protection/>
    </xf>
    <xf numFmtId="0" fontId="141" fillId="0" borderId="22" xfId="60" applyFont="1" applyFill="1" applyBorder="1" applyAlignment="1">
      <alignment vertical="top" wrapText="1"/>
      <protection/>
    </xf>
    <xf numFmtId="0" fontId="142" fillId="0" borderId="18" xfId="60" applyFont="1" applyFill="1" applyBorder="1">
      <alignment/>
      <protection/>
    </xf>
    <xf numFmtId="0" fontId="141" fillId="0" borderId="26" xfId="60" applyFont="1" applyFill="1" applyBorder="1" applyAlignment="1">
      <alignment vertical="top" wrapText="1"/>
      <protection/>
    </xf>
    <xf numFmtId="0" fontId="136" fillId="0" borderId="14" xfId="60" applyFont="1" applyFill="1" applyBorder="1" applyAlignment="1">
      <alignment vertical="top" wrapText="1"/>
      <protection/>
    </xf>
    <xf numFmtId="0" fontId="140" fillId="0" borderId="12" xfId="60" applyFont="1" applyFill="1" applyBorder="1" applyAlignment="1">
      <alignment horizontal="right"/>
      <protection/>
    </xf>
    <xf numFmtId="0" fontId="136" fillId="0" borderId="12" xfId="60" applyFont="1" applyFill="1" applyBorder="1" applyAlignment="1">
      <alignment vertical="top" wrapText="1"/>
      <protection/>
    </xf>
    <xf numFmtId="1" fontId="140" fillId="0" borderId="14" xfId="60" applyNumberFormat="1" applyFont="1" applyFill="1" applyBorder="1" applyAlignment="1">
      <alignment horizontal="right"/>
      <protection/>
    </xf>
    <xf numFmtId="1" fontId="140" fillId="0" borderId="18" xfId="60" applyNumberFormat="1" applyFont="1" applyFill="1" applyBorder="1" applyAlignment="1">
      <alignment horizontal="right"/>
      <protection/>
    </xf>
    <xf numFmtId="0" fontId="136" fillId="0" borderId="22" xfId="60" applyFont="1" applyFill="1" applyBorder="1" applyAlignment="1">
      <alignment wrapText="1"/>
      <protection/>
    </xf>
    <xf numFmtId="1" fontId="140" fillId="0" borderId="20" xfId="60" applyNumberFormat="1" applyFont="1" applyFill="1" applyBorder="1" applyAlignment="1">
      <alignment horizontal="right"/>
      <protection/>
    </xf>
    <xf numFmtId="1" fontId="140" fillId="0" borderId="11" xfId="60" applyNumberFormat="1" applyFont="1" applyFill="1" applyBorder="1" applyAlignment="1">
      <alignment horizontal="right"/>
      <protection/>
    </xf>
    <xf numFmtId="0" fontId="140" fillId="0" borderId="14" xfId="60" applyFont="1" applyFill="1" applyBorder="1" applyAlignment="1">
      <alignment horizontal="right"/>
      <protection/>
    </xf>
    <xf numFmtId="0" fontId="136" fillId="0" borderId="0" xfId="60" applyNumberFormat="1" applyFont="1" applyFill="1" applyBorder="1" applyAlignment="1" applyProtection="1">
      <alignment/>
      <protection/>
    </xf>
    <xf numFmtId="174" fontId="138" fillId="0" borderId="0" xfId="60" applyNumberFormat="1" applyFont="1" applyFill="1" applyBorder="1">
      <alignment/>
      <protection/>
    </xf>
    <xf numFmtId="1" fontId="140" fillId="0" borderId="11" xfId="60" applyNumberFormat="1" applyFont="1" applyFill="1" applyBorder="1">
      <alignment/>
      <protection/>
    </xf>
    <xf numFmtId="1" fontId="140" fillId="0" borderId="22" xfId="60" applyNumberFormat="1" applyFont="1" applyFill="1" applyBorder="1">
      <alignment/>
      <protection/>
    </xf>
    <xf numFmtId="0" fontId="151" fillId="0" borderId="0" xfId="60" applyFont="1" applyFill="1" applyBorder="1">
      <alignment/>
      <protection/>
    </xf>
    <xf numFmtId="1" fontId="140" fillId="0" borderId="11" xfId="60" applyNumberFormat="1" applyFont="1" applyFill="1" applyBorder="1" applyAlignment="1">
      <alignment horizontal="right" vertical="center" wrapText="1"/>
      <protection/>
    </xf>
    <xf numFmtId="1" fontId="140" fillId="0" borderId="22" xfId="60" applyNumberFormat="1" applyFont="1" applyFill="1" applyBorder="1" applyAlignment="1">
      <alignment horizontal="right" vertical="center" wrapText="1"/>
      <protection/>
    </xf>
    <xf numFmtId="0" fontId="140" fillId="0" borderId="22" xfId="60" applyFont="1" applyFill="1" applyBorder="1" applyAlignment="1">
      <alignment horizontal="right" vertical="center"/>
      <protection/>
    </xf>
    <xf numFmtId="1" fontId="140" fillId="0" borderId="10" xfId="60" applyNumberFormat="1" applyFont="1" applyFill="1" applyBorder="1" applyAlignment="1">
      <alignment horizontal="right" vertical="center" wrapText="1"/>
      <protection/>
    </xf>
    <xf numFmtId="0" fontId="142" fillId="0" borderId="15" xfId="60" applyFont="1" applyFill="1" applyBorder="1" applyAlignment="1">
      <alignment vertical="center"/>
      <protection/>
    </xf>
    <xf numFmtId="0" fontId="136" fillId="0" borderId="15" xfId="60" applyFont="1" applyFill="1" applyBorder="1" applyAlignment="1">
      <alignment vertical="top" wrapText="1"/>
      <protection/>
    </xf>
    <xf numFmtId="1" fontId="140" fillId="0" borderId="14" xfId="60" applyNumberFormat="1" applyFont="1" applyFill="1" applyBorder="1">
      <alignment/>
      <protection/>
    </xf>
    <xf numFmtId="0" fontId="140" fillId="0" borderId="14" xfId="60" applyFont="1" applyFill="1" applyBorder="1">
      <alignment/>
      <protection/>
    </xf>
    <xf numFmtId="0" fontId="142" fillId="0" borderId="22" xfId="60" applyFont="1" applyFill="1" applyBorder="1" applyAlignment="1">
      <alignment vertical="center"/>
      <protection/>
    </xf>
    <xf numFmtId="0" fontId="142" fillId="43" borderId="18" xfId="60" applyFont="1" applyFill="1" applyBorder="1">
      <alignment/>
      <protection/>
    </xf>
    <xf numFmtId="0" fontId="136" fillId="43" borderId="14" xfId="60" applyNumberFormat="1" applyFont="1" applyFill="1" applyBorder="1" applyAlignment="1" applyProtection="1">
      <alignment/>
      <protection/>
    </xf>
    <xf numFmtId="0" fontId="142" fillId="0" borderId="0" xfId="60" applyFont="1" applyFill="1">
      <alignment/>
      <protection/>
    </xf>
    <xf numFmtId="0" fontId="137" fillId="0" borderId="10" xfId="60" applyFont="1" applyFill="1" applyBorder="1">
      <alignment/>
      <protection/>
    </xf>
    <xf numFmtId="2" fontId="137" fillId="0" borderId="10" xfId="60" applyNumberFormat="1" applyFont="1" applyFill="1" applyBorder="1">
      <alignment/>
      <protection/>
    </xf>
    <xf numFmtId="1" fontId="137" fillId="0" borderId="10" xfId="60" applyNumberFormat="1" applyFont="1" applyFill="1" applyBorder="1">
      <alignment/>
      <protection/>
    </xf>
    <xf numFmtId="0" fontId="147" fillId="0" borderId="10" xfId="60" applyFont="1" applyFill="1" applyBorder="1">
      <alignment/>
      <protection/>
    </xf>
    <xf numFmtId="177" fontId="138" fillId="43" borderId="10" xfId="60" applyNumberFormat="1" applyFont="1" applyFill="1" applyBorder="1">
      <alignment/>
      <protection/>
    </xf>
    <xf numFmtId="0" fontId="152" fillId="0" borderId="10" xfId="60" applyFont="1" applyFill="1" applyBorder="1" applyAlignment="1">
      <alignment horizontal="center" vertical="center" wrapText="1"/>
      <protection/>
    </xf>
    <xf numFmtId="2" fontId="138" fillId="43" borderId="10" xfId="60" applyNumberFormat="1" applyFont="1" applyFill="1" applyBorder="1">
      <alignment/>
      <protection/>
    </xf>
    <xf numFmtId="0" fontId="136" fillId="0" borderId="10" xfId="60" applyFont="1" applyFill="1" applyBorder="1" applyAlignment="1">
      <alignment horizontal="center" vertical="top" wrapText="1"/>
      <protection/>
    </xf>
    <xf numFmtId="2" fontId="136" fillId="0" borderId="10" xfId="60" applyNumberFormat="1" applyFont="1" applyFill="1" applyBorder="1" applyAlignment="1">
      <alignment horizontal="right" vertical="top" wrapText="1"/>
      <protection/>
    </xf>
    <xf numFmtId="1" fontId="136" fillId="0" borderId="10" xfId="60" applyNumberFormat="1" applyFont="1" applyFill="1" applyBorder="1" applyAlignment="1">
      <alignment horizontal="right" vertical="top" wrapText="1"/>
      <protection/>
    </xf>
    <xf numFmtId="1" fontId="136" fillId="0" borderId="10" xfId="60" applyNumberFormat="1" applyFont="1" applyFill="1" applyBorder="1">
      <alignment/>
      <protection/>
    </xf>
    <xf numFmtId="1" fontId="136" fillId="0" borderId="10" xfId="60" applyNumberFormat="1" applyFont="1" applyFill="1" applyBorder="1" applyAlignment="1">
      <alignment horizontal="right"/>
      <protection/>
    </xf>
    <xf numFmtId="2" fontId="136" fillId="0" borderId="10" xfId="60" applyNumberFormat="1" applyFont="1" applyFill="1" applyBorder="1" applyAlignment="1">
      <alignment horizontal="center" vertical="top" wrapText="1"/>
      <protection/>
    </xf>
    <xf numFmtId="174" fontId="136" fillId="0" borderId="10" xfId="60" applyNumberFormat="1" applyFont="1" applyFill="1" applyBorder="1" applyAlignment="1">
      <alignment horizontal="center" vertical="top" wrapText="1"/>
      <protection/>
    </xf>
    <xf numFmtId="1" fontId="141" fillId="43" borderId="10" xfId="60" applyNumberFormat="1" applyFont="1" applyFill="1" applyBorder="1">
      <alignment/>
      <protection/>
    </xf>
    <xf numFmtId="0" fontId="140" fillId="0" borderId="10" xfId="60" applyFont="1" applyFill="1" applyBorder="1" applyAlignment="1">
      <alignment horizontal="right" vertical="top" wrapText="1"/>
      <protection/>
    </xf>
    <xf numFmtId="0" fontId="142" fillId="35" borderId="10" xfId="60" applyFont="1" applyFill="1" applyBorder="1">
      <alignment/>
      <protection/>
    </xf>
    <xf numFmtId="0" fontId="136" fillId="35" borderId="10" xfId="60" applyFont="1" applyFill="1" applyBorder="1" applyAlignment="1">
      <alignment vertical="top" wrapText="1"/>
      <protection/>
    </xf>
    <xf numFmtId="0" fontId="140" fillId="35" borderId="10" xfId="60" applyFont="1" applyFill="1" applyBorder="1" applyAlignment="1">
      <alignment horizontal="right" vertical="center"/>
      <protection/>
    </xf>
    <xf numFmtId="174" fontId="140" fillId="35" borderId="10" xfId="60" applyNumberFormat="1" applyFont="1" applyFill="1" applyBorder="1" applyAlignment="1">
      <alignment horizontal="right" vertical="center"/>
      <protection/>
    </xf>
    <xf numFmtId="1" fontId="140" fillId="35" borderId="10" xfId="60" applyNumberFormat="1" applyFont="1" applyFill="1" applyBorder="1" applyAlignment="1">
      <alignment horizontal="right"/>
      <protection/>
    </xf>
    <xf numFmtId="0" fontId="142" fillId="35" borderId="12" xfId="60" applyFont="1" applyFill="1" applyBorder="1">
      <alignment/>
      <protection/>
    </xf>
    <xf numFmtId="174" fontId="140" fillId="0" borderId="10" xfId="60" applyNumberFormat="1" applyFont="1" applyFill="1" applyBorder="1" applyAlignment="1">
      <alignment horizontal="right" vertical="center" wrapText="1"/>
      <protection/>
    </xf>
    <xf numFmtId="0" fontId="140" fillId="0" borderId="10" xfId="60" applyFont="1" applyFill="1" applyBorder="1" applyAlignment="1">
      <alignment horizontal="center" vertical="center" wrapText="1"/>
      <protection/>
    </xf>
    <xf numFmtId="174" fontId="140" fillId="0" borderId="10" xfId="60" applyNumberFormat="1" applyFont="1" applyFill="1" applyBorder="1" applyAlignment="1">
      <alignment horizontal="right" vertical="top" wrapText="1"/>
      <protection/>
    </xf>
    <xf numFmtId="0" fontId="140" fillId="0" borderId="15" xfId="60" applyFont="1" applyFill="1" applyBorder="1" applyAlignment="1">
      <alignment horizontal="right" vertical="center" wrapText="1"/>
      <protection/>
    </xf>
    <xf numFmtId="174" fontId="140" fillId="0" borderId="11" xfId="60" applyNumberFormat="1" applyFont="1" applyFill="1" applyBorder="1" applyAlignment="1">
      <alignment horizontal="right" vertical="top" wrapText="1"/>
      <protection/>
    </xf>
    <xf numFmtId="0" fontId="140" fillId="0" borderId="22" xfId="60" applyFont="1" applyBorder="1" applyAlignment="1">
      <alignment horizontal="right" vertical="center" wrapText="1"/>
      <protection/>
    </xf>
    <xf numFmtId="0" fontId="140" fillId="0" borderId="20" xfId="60" applyFont="1" applyFill="1" applyBorder="1" applyAlignment="1">
      <alignment horizontal="right" vertical="center" wrapText="1"/>
      <protection/>
    </xf>
    <xf numFmtId="0" fontId="153" fillId="0" borderId="22" xfId="60" applyFont="1" applyFill="1" applyBorder="1">
      <alignment/>
      <protection/>
    </xf>
    <xf numFmtId="1" fontId="153" fillId="0" borderId="22" xfId="60" applyNumberFormat="1" applyFont="1" applyFill="1" applyBorder="1">
      <alignment/>
      <protection/>
    </xf>
    <xf numFmtId="174" fontId="137" fillId="0" borderId="10" xfId="60" applyNumberFormat="1" applyFont="1" applyFill="1" applyBorder="1">
      <alignment/>
      <protection/>
    </xf>
    <xf numFmtId="1" fontId="154" fillId="43" borderId="10" xfId="60" applyNumberFormat="1" applyFont="1" applyFill="1" applyBorder="1">
      <alignment/>
      <protection/>
    </xf>
    <xf numFmtId="174" fontId="154" fillId="43" borderId="10" xfId="60" applyNumberFormat="1" applyFont="1" applyFill="1" applyBorder="1">
      <alignment/>
      <protection/>
    </xf>
    <xf numFmtId="0" fontId="142" fillId="0" borderId="10" xfId="60" applyFont="1" applyFill="1" applyBorder="1" applyAlignment="1">
      <alignment vertical="top" wrapText="1"/>
      <protection/>
    </xf>
    <xf numFmtId="1" fontId="154" fillId="0" borderId="10" xfId="60" applyNumberFormat="1" applyFont="1" applyFill="1" applyBorder="1">
      <alignment/>
      <protection/>
    </xf>
    <xf numFmtId="174" fontId="154" fillId="0" borderId="10" xfId="60" applyNumberFormat="1" applyFont="1" applyFill="1" applyBorder="1">
      <alignment/>
      <protection/>
    </xf>
    <xf numFmtId="0" fontId="152" fillId="43" borderId="10" xfId="60" applyFont="1" applyFill="1" applyBorder="1">
      <alignment/>
      <protection/>
    </xf>
    <xf numFmtId="1" fontId="152" fillId="43" borderId="10" xfId="60" applyNumberFormat="1" applyFont="1" applyFill="1" applyBorder="1">
      <alignment/>
      <protection/>
    </xf>
    <xf numFmtId="0" fontId="152" fillId="0" borderId="14" xfId="60" applyFont="1" applyFill="1" applyBorder="1" applyAlignment="1">
      <alignment horizontal="center" vertical="center" wrapText="1"/>
      <protection/>
    </xf>
    <xf numFmtId="174" fontId="152" fillId="43" borderId="10" xfId="60" applyNumberFormat="1" applyFont="1" applyFill="1" applyBorder="1">
      <alignment/>
      <protection/>
    </xf>
    <xf numFmtId="1" fontId="147" fillId="0" borderId="10" xfId="60" applyNumberFormat="1" applyFont="1" applyFill="1" applyBorder="1" applyAlignment="1">
      <alignment horizontal="right"/>
      <protection/>
    </xf>
    <xf numFmtId="0" fontId="147" fillId="0" borderId="10" xfId="60" applyFont="1" applyFill="1" applyBorder="1" applyAlignment="1">
      <alignment horizontal="right" vertical="top" wrapText="1"/>
      <protection/>
    </xf>
    <xf numFmtId="1" fontId="147" fillId="37" borderId="10" xfId="60" applyNumberFormat="1" applyFont="1" applyFill="1" applyBorder="1" applyAlignment="1">
      <alignment horizontal="right"/>
      <protection/>
    </xf>
    <xf numFmtId="0" fontId="147" fillId="0" borderId="10" xfId="60" applyFont="1" applyFill="1" applyBorder="1" applyAlignment="1">
      <alignment horizontal="right"/>
      <protection/>
    </xf>
    <xf numFmtId="0" fontId="152" fillId="0" borderId="10" xfId="60" applyFont="1" applyFill="1" applyBorder="1">
      <alignment/>
      <protection/>
    </xf>
    <xf numFmtId="1" fontId="152" fillId="0" borderId="10" xfId="60" applyNumberFormat="1" applyFont="1" applyFill="1" applyBorder="1">
      <alignment/>
      <protection/>
    </xf>
    <xf numFmtId="1" fontId="147" fillId="36" borderId="10" xfId="60" applyNumberFormat="1" applyFont="1" applyFill="1" applyBorder="1" applyAlignment="1">
      <alignment horizontal="right"/>
      <protection/>
    </xf>
    <xf numFmtId="0" fontId="154" fillId="43" borderId="10" xfId="60" applyFont="1" applyFill="1" applyBorder="1">
      <alignment/>
      <protection/>
    </xf>
    <xf numFmtId="2" fontId="147" fillId="0" borderId="10" xfId="60" applyNumberFormat="1" applyFont="1" applyFill="1" applyBorder="1">
      <alignment/>
      <protection/>
    </xf>
    <xf numFmtId="0" fontId="153" fillId="0" borderId="10" xfId="60" applyFont="1" applyFill="1" applyBorder="1" applyAlignment="1">
      <alignment vertical="center"/>
      <protection/>
    </xf>
    <xf numFmtId="0" fontId="140" fillId="0" borderId="11" xfId="60" applyFont="1" applyFill="1" applyBorder="1" applyAlignment="1">
      <alignment vertical="top" wrapText="1"/>
      <protection/>
    </xf>
    <xf numFmtId="0" fontId="140" fillId="0" borderId="22" xfId="60" applyFont="1" applyFill="1" applyBorder="1" applyAlignment="1">
      <alignment vertical="top" wrapText="1"/>
      <protection/>
    </xf>
    <xf numFmtId="1" fontId="140" fillId="0" borderId="20" xfId="60" applyNumberFormat="1" applyFont="1" applyFill="1" applyBorder="1">
      <alignment/>
      <protection/>
    </xf>
    <xf numFmtId="0" fontId="140" fillId="0" borderId="10" xfId="60" applyFont="1" applyFill="1" applyBorder="1" applyAlignment="1">
      <alignment vertical="top" wrapText="1"/>
      <protection/>
    </xf>
    <xf numFmtId="0" fontId="140" fillId="0" borderId="14" xfId="60" applyFont="1" applyFill="1" applyBorder="1" applyAlignment="1">
      <alignment/>
      <protection/>
    </xf>
    <xf numFmtId="2" fontId="140" fillId="0" borderId="14" xfId="60" applyNumberFormat="1" applyFont="1" applyFill="1" applyBorder="1" applyAlignment="1">
      <alignment vertical="top" wrapText="1"/>
      <protection/>
    </xf>
    <xf numFmtId="2" fontId="140" fillId="0" borderId="10" xfId="60" applyNumberFormat="1" applyFont="1" applyFill="1" applyBorder="1" applyAlignment="1">
      <alignment vertical="top" wrapText="1"/>
      <protection/>
    </xf>
    <xf numFmtId="0" fontId="139" fillId="0" borderId="10" xfId="60" applyFont="1" applyFill="1" applyBorder="1" applyAlignment="1">
      <alignment vertical="top" wrapText="1"/>
      <protection/>
    </xf>
    <xf numFmtId="0" fontId="142" fillId="0" borderId="0" xfId="60" applyFont="1" applyFill="1" applyAlignment="1">
      <alignment horizontal="center"/>
      <protection/>
    </xf>
    <xf numFmtId="0" fontId="153" fillId="0" borderId="10" xfId="60" applyFont="1" applyFill="1" applyBorder="1">
      <alignment/>
      <protection/>
    </xf>
    <xf numFmtId="1" fontId="153" fillId="0" borderId="10" xfId="60" applyNumberFormat="1" applyFont="1" applyFill="1" applyBorder="1">
      <alignment/>
      <protection/>
    </xf>
    <xf numFmtId="0" fontId="135" fillId="34" borderId="0" xfId="60" applyFont="1" applyFill="1">
      <alignment/>
      <protection/>
    </xf>
    <xf numFmtId="1" fontId="153" fillId="36" borderId="10" xfId="60" applyNumberFormat="1" applyFont="1" applyFill="1" applyBorder="1">
      <alignment/>
      <protection/>
    </xf>
    <xf numFmtId="174" fontId="153" fillId="0" borderId="10" xfId="60" applyNumberFormat="1" applyFont="1" applyFill="1" applyBorder="1">
      <alignment/>
      <protection/>
    </xf>
    <xf numFmtId="1" fontId="153" fillId="34" borderId="10" xfId="60" applyNumberFormat="1" applyFont="1" applyFill="1" applyBorder="1">
      <alignment/>
      <protection/>
    </xf>
    <xf numFmtId="2" fontId="153" fillId="0" borderId="10" xfId="60" applyNumberFormat="1" applyFont="1" applyFill="1" applyBorder="1">
      <alignment/>
      <protection/>
    </xf>
    <xf numFmtId="1" fontId="135" fillId="0" borderId="10" xfId="60" applyNumberFormat="1" applyFont="1" applyFill="1" applyBorder="1">
      <alignment/>
      <protection/>
    </xf>
    <xf numFmtId="1" fontId="135" fillId="0" borderId="0" xfId="60" applyNumberFormat="1" applyFont="1" applyFill="1">
      <alignment/>
      <protection/>
    </xf>
    <xf numFmtId="0" fontId="135" fillId="0" borderId="10" xfId="60" applyFont="1" applyFill="1" applyBorder="1">
      <alignment/>
      <protection/>
    </xf>
    <xf numFmtId="0" fontId="140" fillId="0" borderId="22" xfId="60" applyFont="1" applyBorder="1" applyAlignment="1">
      <alignment horizontal="right"/>
      <protection/>
    </xf>
    <xf numFmtId="0" fontId="142" fillId="0" borderId="15" xfId="60" applyFont="1" applyFill="1" applyBorder="1">
      <alignment/>
      <protection/>
    </xf>
    <xf numFmtId="0" fontId="153" fillId="0" borderId="15" xfId="60" applyFont="1" applyFill="1" applyBorder="1">
      <alignment/>
      <protection/>
    </xf>
    <xf numFmtId="0" fontId="135" fillId="0" borderId="15" xfId="60" applyFont="1" applyFill="1" applyBorder="1">
      <alignment/>
      <protection/>
    </xf>
    <xf numFmtId="1" fontId="153" fillId="0" borderId="15" xfId="60" applyNumberFormat="1" applyFont="1" applyFill="1" applyBorder="1">
      <alignment/>
      <protection/>
    </xf>
    <xf numFmtId="0" fontId="142" fillId="43" borderId="22" xfId="60" applyFont="1" applyFill="1" applyBorder="1">
      <alignment/>
      <protection/>
    </xf>
    <xf numFmtId="0" fontId="136" fillId="43" borderId="22" xfId="60" applyNumberFormat="1" applyFont="1" applyFill="1" applyBorder="1" applyAlignment="1" applyProtection="1">
      <alignment/>
      <protection/>
    </xf>
    <xf numFmtId="0" fontId="154" fillId="43" borderId="22" xfId="60" applyFont="1" applyFill="1" applyBorder="1">
      <alignment/>
      <protection/>
    </xf>
    <xf numFmtId="1" fontId="154" fillId="43" borderId="22" xfId="60" applyNumberFormat="1" applyFont="1" applyFill="1" applyBorder="1">
      <alignment/>
      <protection/>
    </xf>
    <xf numFmtId="0" fontId="136" fillId="0" borderId="0" xfId="60" applyFont="1" applyFill="1">
      <alignment/>
      <protection/>
    </xf>
    <xf numFmtId="0" fontId="137" fillId="0" borderId="0" xfId="60" applyFont="1" applyFill="1">
      <alignment/>
      <protection/>
    </xf>
    <xf numFmtId="2" fontId="137" fillId="0" borderId="0" xfId="60" applyNumberFormat="1" applyFont="1" applyFill="1">
      <alignment/>
      <protection/>
    </xf>
    <xf numFmtId="0" fontId="147" fillId="0" borderId="0" xfId="60" applyFont="1" applyFill="1">
      <alignment/>
      <protection/>
    </xf>
    <xf numFmtId="0" fontId="154" fillId="43" borderId="10" xfId="60" applyFont="1" applyFill="1" applyBorder="1" applyAlignment="1">
      <alignment horizontal="left" vertical="center" wrapText="1"/>
      <protection/>
    </xf>
    <xf numFmtId="2" fontId="154" fillId="43" borderId="10" xfId="60" applyNumberFormat="1" applyFont="1" applyFill="1" applyBorder="1" applyAlignment="1">
      <alignment horizontal="center" wrapText="1"/>
      <protection/>
    </xf>
    <xf numFmtId="1" fontId="154" fillId="43" borderId="10" xfId="60" applyNumberFormat="1" applyFont="1" applyFill="1" applyBorder="1" applyAlignment="1">
      <alignment horizontal="left" vertical="center" wrapText="1"/>
      <protection/>
    </xf>
    <xf numFmtId="1" fontId="154" fillId="43" borderId="10" xfId="60" applyNumberFormat="1" applyFont="1" applyFill="1" applyBorder="1" applyAlignment="1">
      <alignment horizontal="center" vertical="center" wrapText="1"/>
      <protection/>
    </xf>
    <xf numFmtId="0" fontId="153" fillId="43" borderId="10" xfId="60" applyFont="1" applyFill="1" applyBorder="1" applyAlignment="1">
      <alignment horizontal="left" vertical="center" wrapText="1"/>
      <protection/>
    </xf>
    <xf numFmtId="2" fontId="153" fillId="43" borderId="10" xfId="60" applyNumberFormat="1" applyFont="1" applyFill="1" applyBorder="1" applyAlignment="1">
      <alignment horizontal="center" vertical="center"/>
      <protection/>
    </xf>
    <xf numFmtId="1" fontId="153" fillId="43" borderId="10" xfId="60" applyNumberFormat="1" applyFont="1" applyFill="1" applyBorder="1" applyAlignment="1">
      <alignment horizontal="center" vertical="center"/>
      <protection/>
    </xf>
    <xf numFmtId="1" fontId="148" fillId="43" borderId="10" xfId="60" applyNumberFormat="1" applyFont="1" applyFill="1" applyBorder="1" applyAlignment="1">
      <alignment horizontal="center" vertical="center"/>
      <protection/>
    </xf>
    <xf numFmtId="0" fontId="153" fillId="43" borderId="10" xfId="60" applyFont="1" applyFill="1" applyBorder="1" applyAlignment="1">
      <alignment horizontal="center" vertical="center"/>
      <protection/>
    </xf>
    <xf numFmtId="174" fontId="136" fillId="0" borderId="10" xfId="60" applyNumberFormat="1" applyFont="1" applyFill="1" applyBorder="1" applyAlignment="1">
      <alignment horizontal="right"/>
      <protection/>
    </xf>
    <xf numFmtId="0" fontId="154" fillId="0" borderId="10" xfId="60" applyFont="1" applyFill="1" applyBorder="1">
      <alignment/>
      <protection/>
    </xf>
    <xf numFmtId="0" fontId="145" fillId="0" borderId="10" xfId="60" applyFont="1" applyFill="1" applyBorder="1">
      <alignment/>
      <protection/>
    </xf>
    <xf numFmtId="0" fontId="141" fillId="0" borderId="10" xfId="60" applyFont="1" applyFill="1" applyBorder="1">
      <alignment/>
      <protection/>
    </xf>
    <xf numFmtId="174" fontId="141" fillId="0" borderId="10" xfId="60" applyNumberFormat="1" applyFont="1" applyFill="1" applyBorder="1">
      <alignment/>
      <protection/>
    </xf>
    <xf numFmtId="1" fontId="141" fillId="0" borderId="10" xfId="60" applyNumberFormat="1" applyFont="1" applyFill="1" applyBorder="1">
      <alignment/>
      <protection/>
    </xf>
    <xf numFmtId="0" fontId="155" fillId="0" borderId="0" xfId="60" applyFont="1" applyFill="1">
      <alignment/>
      <protection/>
    </xf>
    <xf numFmtId="0" fontId="154" fillId="0" borderId="10" xfId="60" applyFont="1" applyFill="1" applyBorder="1" applyAlignment="1">
      <alignment horizontal="left" vertical="center" wrapText="1"/>
      <protection/>
    </xf>
    <xf numFmtId="2" fontId="154" fillId="0" borderId="10" xfId="60" applyNumberFormat="1" applyFont="1" applyFill="1" applyBorder="1" applyAlignment="1">
      <alignment horizontal="center" wrapText="1"/>
      <protection/>
    </xf>
    <xf numFmtId="1" fontId="154" fillId="0" borderId="10" xfId="60" applyNumberFormat="1" applyFont="1" applyFill="1" applyBorder="1" applyAlignment="1">
      <alignment horizontal="left" vertical="center" wrapText="1"/>
      <protection/>
    </xf>
    <xf numFmtId="1" fontId="154" fillId="0" borderId="10" xfId="60" applyNumberFormat="1" applyFont="1" applyFill="1" applyBorder="1" applyAlignment="1">
      <alignment horizontal="center" vertical="center" wrapText="1"/>
      <protection/>
    </xf>
    <xf numFmtId="0" fontId="153" fillId="0" borderId="10" xfId="60" applyFont="1" applyFill="1" applyBorder="1" applyAlignment="1">
      <alignment horizontal="left" vertical="center" wrapText="1"/>
      <protection/>
    </xf>
    <xf numFmtId="2" fontId="153" fillId="0" borderId="10" xfId="60" applyNumberFormat="1" applyFont="1" applyFill="1" applyBorder="1" applyAlignment="1">
      <alignment horizontal="center" vertical="center"/>
      <protection/>
    </xf>
    <xf numFmtId="1" fontId="153" fillId="0" borderId="10" xfId="60" applyNumberFormat="1" applyFont="1" applyFill="1" applyBorder="1" applyAlignment="1">
      <alignment horizontal="center" vertical="center"/>
      <protection/>
    </xf>
    <xf numFmtId="1" fontId="148" fillId="0" borderId="10" xfId="60" applyNumberFormat="1" applyFont="1" applyFill="1" applyBorder="1" applyAlignment="1">
      <alignment horizontal="center" vertical="center"/>
      <protection/>
    </xf>
    <xf numFmtId="0" fontId="153" fillId="0" borderId="10" xfId="60" applyFont="1" applyFill="1" applyBorder="1" applyAlignment="1">
      <alignment horizontal="center" vertical="center"/>
      <protection/>
    </xf>
    <xf numFmtId="0" fontId="153" fillId="0" borderId="0" xfId="60" applyFont="1" applyFill="1">
      <alignment/>
      <protection/>
    </xf>
    <xf numFmtId="174" fontId="135" fillId="0" borderId="10" xfId="60" applyNumberFormat="1" applyFont="1" applyFill="1" applyBorder="1" applyAlignment="1">
      <alignment horizontal="right"/>
      <protection/>
    </xf>
    <xf numFmtId="0" fontId="136" fillId="0" borderId="20" xfId="60" applyFont="1" applyFill="1" applyBorder="1">
      <alignment/>
      <protection/>
    </xf>
    <xf numFmtId="0" fontId="146" fillId="43" borderId="22" xfId="60" applyNumberFormat="1" applyFont="1" applyFill="1" applyBorder="1" applyAlignment="1" applyProtection="1">
      <alignment/>
      <protection/>
    </xf>
    <xf numFmtId="0" fontId="156" fillId="43" borderId="20" xfId="60" applyFont="1" applyFill="1" applyBorder="1" applyAlignment="1">
      <alignment horizontal="center" vertical="center"/>
      <protection/>
    </xf>
    <xf numFmtId="174" fontId="138" fillId="43" borderId="10" xfId="60" applyNumberFormat="1" applyFont="1" applyFill="1" applyBorder="1" applyAlignment="1">
      <alignment horizontal="right" vertical="center"/>
      <protection/>
    </xf>
    <xf numFmtId="176" fontId="141" fillId="43" borderId="10" xfId="42" applyNumberFormat="1" applyFont="1" applyFill="1" applyBorder="1" applyAlignment="1" applyProtection="1">
      <alignment horizontal="center" vertical="center"/>
      <protection/>
    </xf>
    <xf numFmtId="176" fontId="141" fillId="43" borderId="10" xfId="42" applyNumberFormat="1" applyFont="1" applyFill="1" applyBorder="1" applyAlignment="1" applyProtection="1">
      <alignment horizontal="right" vertical="center"/>
      <protection/>
    </xf>
    <xf numFmtId="0" fontId="156" fillId="43" borderId="10" xfId="60" applyFont="1" applyFill="1" applyBorder="1" applyAlignment="1">
      <alignment horizontal="right" vertical="center"/>
      <protection/>
    </xf>
    <xf numFmtId="0" fontId="48" fillId="43" borderId="22" xfId="0" applyFont="1" applyFill="1" applyBorder="1" applyAlignment="1">
      <alignment horizontal="center" vertical="center"/>
    </xf>
    <xf numFmtId="0" fontId="48" fillId="43" borderId="22" xfId="0" applyFont="1" applyFill="1" applyBorder="1" applyAlignment="1">
      <alignment horizontal="center" vertical="center" wrapText="1"/>
    </xf>
    <xf numFmtId="0" fontId="0" fillId="43" borderId="22" xfId="0" applyFill="1" applyBorder="1" applyAlignment="1">
      <alignment/>
    </xf>
    <xf numFmtId="0" fontId="49" fillId="43" borderId="22" xfId="0" applyFont="1" applyFill="1" applyBorder="1" applyAlignment="1">
      <alignment horizontal="center"/>
    </xf>
    <xf numFmtId="0" fontId="54" fillId="43" borderId="22" xfId="0" applyFont="1" applyFill="1" applyBorder="1" applyAlignment="1">
      <alignment horizontal="center" vertical="center"/>
    </xf>
    <xf numFmtId="0" fontId="64" fillId="43" borderId="22" xfId="61" applyFont="1" applyFill="1" applyBorder="1" applyAlignment="1">
      <alignment horizontal="center" vertical="center"/>
      <protection/>
    </xf>
    <xf numFmtId="0" fontId="65" fillId="43" borderId="22" xfId="0" applyFont="1" applyFill="1" applyBorder="1" applyAlignment="1">
      <alignment vertical="center"/>
    </xf>
    <xf numFmtId="0" fontId="14" fillId="43" borderId="0" xfId="60" applyFont="1" applyFill="1" applyBorder="1" applyAlignment="1">
      <alignment horizontal="center"/>
      <protection/>
    </xf>
    <xf numFmtId="0" fontId="11" fillId="43" borderId="0" xfId="60" applyFont="1" applyFill="1" applyBorder="1" applyAlignment="1">
      <alignment horizontal="right"/>
      <protection/>
    </xf>
    <xf numFmtId="174" fontId="11" fillId="43" borderId="0" xfId="60" applyNumberFormat="1" applyFont="1" applyFill="1" applyBorder="1" applyAlignment="1">
      <alignment horizontal="right"/>
      <protection/>
    </xf>
    <xf numFmtId="0" fontId="11" fillId="43" borderId="0" xfId="60" applyFont="1" applyFill="1" applyBorder="1">
      <alignment/>
      <protection/>
    </xf>
    <xf numFmtId="0" fontId="15" fillId="0" borderId="0" xfId="60" applyFont="1" applyFill="1">
      <alignment/>
      <protection/>
    </xf>
    <xf numFmtId="0" fontId="11" fillId="43" borderId="0" xfId="60" applyFont="1" applyFill="1" applyBorder="1" applyAlignment="1">
      <alignment horizontal="center"/>
      <protection/>
    </xf>
    <xf numFmtId="0" fontId="11" fillId="46" borderId="0" xfId="60" applyFont="1" applyFill="1" applyBorder="1">
      <alignment/>
      <protection/>
    </xf>
    <xf numFmtId="0" fontId="0" fillId="46" borderId="0" xfId="0" applyFill="1" applyAlignment="1">
      <alignment/>
    </xf>
    <xf numFmtId="0" fontId="75" fillId="40" borderId="0" xfId="60" applyFont="1" applyFill="1" applyBorder="1" applyAlignment="1">
      <alignment horizontal="center" vertical="center"/>
      <protection/>
    </xf>
    <xf numFmtId="0" fontId="66" fillId="40" borderId="0" xfId="60" applyFont="1" applyFill="1" applyBorder="1" applyAlignment="1">
      <alignment horizontal="center" vertical="center"/>
      <protection/>
    </xf>
    <xf numFmtId="0" fontId="67" fillId="40" borderId="0" xfId="60" applyFont="1" applyFill="1" applyBorder="1" applyAlignment="1">
      <alignment horizontal="center" vertical="center"/>
      <protection/>
    </xf>
    <xf numFmtId="0" fontId="74" fillId="0" borderId="31" xfId="0" applyFont="1" applyBorder="1" applyAlignment="1">
      <alignment horizontal="center" wrapText="1"/>
    </xf>
    <xf numFmtId="0" fontId="74" fillId="0" borderId="26" xfId="0" applyFont="1" applyBorder="1" applyAlignment="1">
      <alignment horizontal="center" wrapText="1"/>
    </xf>
    <xf numFmtId="0" fontId="68" fillId="47" borderId="0" xfId="60" applyFont="1" applyFill="1" applyBorder="1" applyAlignment="1">
      <alignment horizontal="center" vertical="center"/>
      <protection/>
    </xf>
    <xf numFmtId="0" fontId="66" fillId="47" borderId="0" xfId="60" applyFont="1" applyFill="1" applyBorder="1" applyAlignment="1">
      <alignment horizontal="center" vertical="center"/>
      <protection/>
    </xf>
    <xf numFmtId="0" fontId="67" fillId="47" borderId="0" xfId="60" applyFont="1" applyFill="1" applyBorder="1" applyAlignment="1">
      <alignment horizontal="center" vertical="center"/>
      <protection/>
    </xf>
    <xf numFmtId="0" fontId="10" fillId="40" borderId="31" xfId="60" applyFont="1" applyFill="1" applyBorder="1" applyAlignment="1">
      <alignment horizontal="center" vertical="center" wrapText="1"/>
      <protection/>
    </xf>
    <xf numFmtId="0" fontId="10" fillId="40" borderId="26" xfId="60" applyFont="1" applyFill="1" applyBorder="1" applyAlignment="1">
      <alignment horizontal="center" vertical="center" wrapText="1"/>
      <protection/>
    </xf>
    <xf numFmtId="0" fontId="11" fillId="40" borderId="31" xfId="60" applyFont="1" applyFill="1" applyBorder="1" applyAlignment="1">
      <alignment horizontal="center" vertical="center"/>
      <protection/>
    </xf>
    <xf numFmtId="0" fontId="11" fillId="40" borderId="26" xfId="60" applyFont="1" applyFill="1" applyBorder="1" applyAlignment="1">
      <alignment horizontal="center" vertical="center"/>
      <protection/>
    </xf>
    <xf numFmtId="0" fontId="10" fillId="43" borderId="31" xfId="60" applyFont="1" applyFill="1" applyBorder="1" applyAlignment="1">
      <alignment horizontal="center" vertical="center" wrapText="1"/>
      <protection/>
    </xf>
    <xf numFmtId="0" fontId="10" fillId="43" borderId="26" xfId="60" applyFont="1" applyFill="1" applyBorder="1" applyAlignment="1">
      <alignment horizontal="center" vertical="center" wrapText="1"/>
      <protection/>
    </xf>
    <xf numFmtId="0" fontId="11" fillId="43" borderId="31" xfId="60" applyFont="1" applyFill="1" applyBorder="1" applyAlignment="1">
      <alignment horizontal="center" vertical="center"/>
      <protection/>
    </xf>
    <xf numFmtId="0" fontId="11" fillId="43" borderId="26" xfId="60" applyFont="1" applyFill="1" applyBorder="1" applyAlignment="1">
      <alignment horizontal="center" vertical="center"/>
      <protection/>
    </xf>
    <xf numFmtId="0" fontId="14" fillId="43" borderId="23" xfId="60" applyFont="1" applyFill="1" applyBorder="1" applyAlignment="1">
      <alignment horizontal="center"/>
      <protection/>
    </xf>
    <xf numFmtId="0" fontId="14" fillId="43" borderId="27" xfId="60" applyFont="1" applyFill="1" applyBorder="1" applyAlignment="1">
      <alignment horizontal="center"/>
      <protection/>
    </xf>
    <xf numFmtId="0" fontId="10" fillId="0" borderId="31" xfId="60" applyFont="1" applyFill="1" applyBorder="1" applyAlignment="1">
      <alignment horizontal="center" vertical="center" wrapText="1"/>
      <protection/>
    </xf>
    <xf numFmtId="0" fontId="10" fillId="0" borderId="26" xfId="60" applyFont="1" applyFill="1" applyBorder="1" applyAlignment="1">
      <alignment horizontal="center" vertical="center" wrapText="1"/>
      <protection/>
    </xf>
    <xf numFmtId="0" fontId="11" fillId="0" borderId="31" xfId="60" applyFont="1" applyFill="1" applyBorder="1" applyAlignment="1">
      <alignment horizontal="center" vertical="center"/>
      <protection/>
    </xf>
    <xf numFmtId="0" fontId="11" fillId="0" borderId="26" xfId="60" applyFont="1" applyFill="1" applyBorder="1" applyAlignment="1">
      <alignment horizontal="center" vertical="center"/>
      <protection/>
    </xf>
    <xf numFmtId="0" fontId="44" fillId="47" borderId="29" xfId="60" applyFont="1" applyFill="1" applyBorder="1" applyAlignment="1">
      <alignment horizontal="center"/>
      <protection/>
    </xf>
    <xf numFmtId="0" fontId="44" fillId="47" borderId="0" xfId="60" applyFont="1" applyFill="1" applyBorder="1" applyAlignment="1">
      <alignment horizontal="center"/>
      <protection/>
    </xf>
    <xf numFmtId="0" fontId="39" fillId="47" borderId="29" xfId="60" applyFont="1" applyFill="1" applyBorder="1" applyAlignment="1">
      <alignment horizontal="center" vertical="center"/>
      <protection/>
    </xf>
    <xf numFmtId="0" fontId="39" fillId="47" borderId="0" xfId="60" applyFont="1" applyFill="1" applyBorder="1" applyAlignment="1">
      <alignment horizontal="center" vertical="center"/>
      <protection/>
    </xf>
    <xf numFmtId="0" fontId="6" fillId="47" borderId="29" xfId="60" applyFont="1" applyFill="1" applyBorder="1" applyAlignment="1">
      <alignment horizontal="center" vertical="center"/>
      <protection/>
    </xf>
    <xf numFmtId="0" fontId="6" fillId="47" borderId="0" xfId="60" applyFont="1" applyFill="1" applyBorder="1" applyAlignment="1">
      <alignment horizontal="center" vertical="center"/>
      <protection/>
    </xf>
    <xf numFmtId="0" fontId="6" fillId="48" borderId="0" xfId="60" applyFont="1" applyFill="1" applyAlignment="1">
      <alignment horizontal="center" vertical="center"/>
      <protection/>
    </xf>
    <xf numFmtId="0" fontId="7" fillId="48" borderId="0" xfId="60" applyFont="1" applyFill="1" applyAlignment="1">
      <alignment horizontal="center" vertical="center"/>
      <protection/>
    </xf>
    <xf numFmtId="0" fontId="7" fillId="48" borderId="0" xfId="60" applyFont="1" applyFill="1" applyBorder="1" applyAlignment="1">
      <alignment horizontal="center" vertical="center"/>
      <protection/>
    </xf>
    <xf numFmtId="0" fontId="11" fillId="43" borderId="23" xfId="60" applyFont="1" applyFill="1" applyBorder="1" applyAlignment="1">
      <alignment horizontal="center"/>
      <protection/>
    </xf>
    <xf numFmtId="0" fontId="11" fillId="43" borderId="27" xfId="60" applyFont="1" applyFill="1" applyBorder="1" applyAlignment="1">
      <alignment horizontal="center"/>
      <protection/>
    </xf>
    <xf numFmtId="0" fontId="6" fillId="48" borderId="0" xfId="60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center"/>
      <protection/>
    </xf>
    <xf numFmtId="0" fontId="11" fillId="0" borderId="27" xfId="60" applyFont="1" applyFill="1" applyBorder="1" applyAlignment="1">
      <alignment horizontal="center"/>
      <protection/>
    </xf>
    <xf numFmtId="0" fontId="141" fillId="43" borderId="10" xfId="60" applyFont="1" applyFill="1" applyBorder="1" applyAlignment="1">
      <alignment horizontal="center" vertical="center"/>
      <protection/>
    </xf>
    <xf numFmtId="0" fontId="152" fillId="43" borderId="10" xfId="60" applyFont="1" applyFill="1" applyBorder="1" applyAlignment="1">
      <alignment horizontal="center" vertical="center" wrapText="1"/>
      <protection/>
    </xf>
    <xf numFmtId="0" fontId="152" fillId="0" borderId="10" xfId="60" applyFont="1" applyFill="1" applyBorder="1" applyAlignment="1">
      <alignment horizontal="center" vertical="center" wrapText="1"/>
      <protection/>
    </xf>
    <xf numFmtId="0" fontId="157" fillId="24" borderId="0" xfId="60" applyFont="1" applyFill="1" applyBorder="1" applyAlignment="1">
      <alignment horizontal="center" vertical="center"/>
      <protection/>
    </xf>
    <xf numFmtId="0" fontId="158" fillId="24" borderId="0" xfId="60" applyFont="1" applyFill="1" applyBorder="1" applyAlignment="1">
      <alignment horizontal="center"/>
      <protection/>
    </xf>
    <xf numFmtId="0" fontId="159" fillId="24" borderId="13" xfId="60" applyFont="1" applyFill="1" applyBorder="1" applyAlignment="1">
      <alignment horizontal="center"/>
      <protection/>
    </xf>
    <xf numFmtId="0" fontId="159" fillId="0" borderId="13" xfId="60" applyFont="1" applyFill="1" applyBorder="1" applyAlignment="1">
      <alignment horizontal="center"/>
      <protection/>
    </xf>
    <xf numFmtId="0" fontId="141" fillId="0" borderId="10" xfId="60" applyFont="1" applyFill="1" applyBorder="1" applyAlignment="1">
      <alignment horizontal="center" vertical="center"/>
      <protection/>
    </xf>
    <xf numFmtId="0" fontId="157" fillId="0" borderId="0" xfId="60" applyFont="1" applyFill="1" applyBorder="1" applyAlignment="1">
      <alignment horizontal="center" vertical="center"/>
      <protection/>
    </xf>
    <xf numFmtId="0" fontId="160" fillId="0" borderId="0" xfId="60" applyFont="1" applyFill="1" applyBorder="1" applyAlignment="1">
      <alignment horizontal="center"/>
      <protection/>
    </xf>
    <xf numFmtId="0" fontId="140" fillId="0" borderId="10" xfId="60" applyFont="1" applyFill="1" applyBorder="1" applyAlignment="1">
      <alignment horizontal="right" vertical="center"/>
      <protection/>
    </xf>
    <xf numFmtId="174" fontId="140" fillId="0" borderId="10" xfId="60" applyNumberFormat="1" applyFont="1" applyFill="1" applyBorder="1" applyAlignment="1">
      <alignment horizontal="right" vertical="center"/>
      <protection/>
    </xf>
    <xf numFmtId="0" fontId="140" fillId="0" borderId="15" xfId="60" applyFont="1" applyFill="1" applyBorder="1" applyAlignment="1">
      <alignment horizontal="center"/>
      <protection/>
    </xf>
    <xf numFmtId="0" fontId="140" fillId="0" borderId="14" xfId="60" applyFont="1" applyFill="1" applyBorder="1" applyAlignment="1">
      <alignment horizontal="center"/>
      <protection/>
    </xf>
    <xf numFmtId="0" fontId="136" fillId="0" borderId="15" xfId="60" applyFont="1" applyFill="1" applyBorder="1" applyAlignment="1">
      <alignment horizontal="center" vertical="top" wrapText="1"/>
      <protection/>
    </xf>
    <xf numFmtId="0" fontId="136" fillId="0" borderId="14" xfId="60" applyFont="1" applyFill="1" applyBorder="1" applyAlignment="1">
      <alignment horizontal="center" vertical="top" wrapText="1"/>
      <protection/>
    </xf>
    <xf numFmtId="0" fontId="143" fillId="49" borderId="0" xfId="60" applyFont="1" applyFill="1" applyBorder="1" applyAlignment="1">
      <alignment horizontal="center" vertical="center"/>
      <protection/>
    </xf>
    <xf numFmtId="0" fontId="157" fillId="49" borderId="0" xfId="60" applyFont="1" applyFill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/>
      <protection/>
    </xf>
    <xf numFmtId="0" fontId="22" fillId="24" borderId="13" xfId="60" applyFont="1" applyFill="1" applyBorder="1" applyAlignment="1">
      <alignment horizontal="center"/>
      <protection/>
    </xf>
    <xf numFmtId="0" fontId="22" fillId="0" borderId="13" xfId="60" applyFont="1" applyFill="1" applyBorder="1" applyAlignment="1">
      <alignment horizontal="center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0" fontId="11" fillId="33" borderId="15" xfId="60" applyFont="1" applyFill="1" applyBorder="1" applyAlignment="1">
      <alignment horizontal="center" vertical="center"/>
      <protection/>
    </xf>
    <xf numFmtId="0" fontId="11" fillId="33" borderId="14" xfId="60" applyFont="1" applyFill="1" applyBorder="1" applyAlignment="1">
      <alignment horizontal="center" vertical="center"/>
      <protection/>
    </xf>
    <xf numFmtId="0" fontId="11" fillId="33" borderId="10" xfId="60" applyFont="1" applyFill="1" applyBorder="1" applyAlignment="1">
      <alignment vertical="center"/>
      <protection/>
    </xf>
    <xf numFmtId="0" fontId="6" fillId="5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32" fillId="24" borderId="0" xfId="60" applyFont="1" applyFill="1" applyBorder="1" applyAlignment="1">
      <alignment horizontal="center"/>
      <protection/>
    </xf>
    <xf numFmtId="0" fontId="6" fillId="49" borderId="0" xfId="60" applyFont="1" applyFill="1" applyBorder="1" applyAlignment="1">
      <alignment horizontal="center" vertical="center"/>
      <protection/>
    </xf>
    <xf numFmtId="0" fontId="7" fillId="49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10" fillId="43" borderId="10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/>
      <protection/>
    </xf>
    <xf numFmtId="0" fontId="11" fillId="43" borderId="15" xfId="60" applyFont="1" applyFill="1" applyBorder="1" applyAlignment="1">
      <alignment horizontal="center" vertical="center"/>
      <protection/>
    </xf>
    <xf numFmtId="0" fontId="11" fillId="43" borderId="14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12" fillId="0" borderId="15" xfId="60" applyFont="1" applyFill="1" applyBorder="1" applyAlignment="1">
      <alignment horizontal="center"/>
      <protection/>
    </xf>
    <xf numFmtId="0" fontId="12" fillId="0" borderId="14" xfId="60" applyFont="1" applyFill="1" applyBorder="1" applyAlignment="1">
      <alignment horizontal="center"/>
      <protection/>
    </xf>
    <xf numFmtId="0" fontId="9" fillId="34" borderId="13" xfId="60" applyFont="1" applyFill="1" applyBorder="1" applyAlignment="1">
      <alignment horizontal="center"/>
      <protection/>
    </xf>
    <xf numFmtId="0" fontId="9" fillId="0" borderId="2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vertical="top" wrapText="1"/>
      <protection/>
    </xf>
    <xf numFmtId="0" fontId="39" fillId="43" borderId="0" xfId="60" applyFont="1" applyFill="1" applyBorder="1" applyAlignment="1">
      <alignment horizontal="center" vertical="center"/>
      <protection/>
    </xf>
    <xf numFmtId="0" fontId="11" fillId="43" borderId="32" xfId="60" applyFont="1" applyFill="1" applyBorder="1" applyAlignment="1">
      <alignment horizontal="center" vertical="center"/>
      <protection/>
    </xf>
    <xf numFmtId="0" fontId="11" fillId="43" borderId="33" xfId="60" applyFont="1" applyFill="1" applyBorder="1" applyAlignment="1">
      <alignment horizontal="center" vertical="center"/>
      <protection/>
    </xf>
    <xf numFmtId="0" fontId="6" fillId="43" borderId="0" xfId="60" applyFont="1" applyFill="1" applyBorder="1" applyAlignment="1">
      <alignment horizontal="center" vertical="center"/>
      <protection/>
    </xf>
    <xf numFmtId="0" fontId="7" fillId="43" borderId="0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/>
      <protection/>
    </xf>
    <xf numFmtId="0" fontId="8" fillId="43" borderId="0" xfId="60" applyFont="1" applyFill="1" applyBorder="1" applyAlignment="1">
      <alignment horizontal="center" vertical="center"/>
      <protection/>
    </xf>
    <xf numFmtId="174" fontId="14" fillId="0" borderId="13" xfId="60" applyNumberFormat="1" applyFont="1" applyFill="1" applyBorder="1" applyAlignment="1">
      <alignment horizontal="center"/>
      <protection/>
    </xf>
    <xf numFmtId="0" fontId="23" fillId="0" borderId="13" xfId="60" applyFont="1" applyFill="1" applyBorder="1" applyAlignment="1">
      <alignment horizontal="center"/>
      <protection/>
    </xf>
    <xf numFmtId="0" fontId="14" fillId="0" borderId="0" xfId="60" applyFont="1" applyFill="1" applyAlignment="1">
      <alignment horizontal="center"/>
      <protection/>
    </xf>
    <xf numFmtId="0" fontId="14" fillId="0" borderId="13" xfId="60" applyFont="1" applyFill="1" applyBorder="1" applyAlignment="1">
      <alignment horizontal="center"/>
      <protection/>
    </xf>
    <xf numFmtId="174" fontId="14" fillId="0" borderId="25" xfId="60" applyNumberFormat="1" applyFont="1" applyFill="1" applyBorder="1" applyAlignment="1">
      <alignment horizontal="center"/>
      <protection/>
    </xf>
    <xf numFmtId="174" fontId="23" fillId="0" borderId="13" xfId="60" applyNumberFormat="1" applyFont="1" applyFill="1" applyBorder="1" applyAlignment="1">
      <alignment horizontal="center"/>
      <protection/>
    </xf>
    <xf numFmtId="0" fontId="76" fillId="47" borderId="0" xfId="0" applyFont="1" applyFill="1" applyAlignment="1">
      <alignment horizontal="center"/>
    </xf>
    <xf numFmtId="0" fontId="70" fillId="41" borderId="0" xfId="0" applyFont="1" applyFill="1" applyAlignment="1">
      <alignment horizontal="center" vertical="center"/>
    </xf>
    <xf numFmtId="0" fontId="61" fillId="43" borderId="31" xfId="61" applyFont="1" applyFill="1" applyBorder="1" applyAlignment="1">
      <alignment horizontal="center" vertical="center" wrapText="1"/>
      <protection/>
    </xf>
    <xf numFmtId="0" fontId="61" fillId="43" borderId="26" xfId="61" applyFont="1" applyFill="1" applyBorder="1" applyAlignment="1">
      <alignment horizontal="center" vertical="center" wrapText="1"/>
      <protection/>
    </xf>
    <xf numFmtId="0" fontId="61" fillId="43" borderId="22" xfId="61" applyFont="1" applyFill="1" applyBorder="1" applyAlignment="1">
      <alignment horizontal="center"/>
      <protection/>
    </xf>
    <xf numFmtId="0" fontId="59" fillId="43" borderId="22" xfId="61" applyFont="1" applyFill="1" applyBorder="1" applyAlignment="1">
      <alignment horizontal="center"/>
      <protection/>
    </xf>
    <xf numFmtId="0" fontId="59" fillId="43" borderId="22" xfId="61" applyFont="1" applyFill="1" applyBorder="1" applyAlignment="1">
      <alignment horizontal="center" vertical="center" wrapText="1"/>
      <protection/>
    </xf>
    <xf numFmtId="0" fontId="60" fillId="43" borderId="31" xfId="61" applyFont="1" applyFill="1" applyBorder="1" applyAlignment="1">
      <alignment horizontal="center" vertical="center" wrapText="1"/>
      <protection/>
    </xf>
    <xf numFmtId="0" fontId="60" fillId="43" borderId="26" xfId="61" applyFont="1" applyFill="1" applyBorder="1" applyAlignment="1">
      <alignment horizontal="center" vertical="center" wrapText="1"/>
      <protection/>
    </xf>
    <xf numFmtId="0" fontId="59" fillId="43" borderId="31" xfId="61" applyFont="1" applyFill="1" applyBorder="1" applyAlignment="1">
      <alignment horizontal="center" vertical="center" textRotation="90" wrapText="1"/>
      <protection/>
    </xf>
    <xf numFmtId="0" fontId="59" fillId="43" borderId="26" xfId="61" applyFont="1" applyFill="1" applyBorder="1" applyAlignment="1">
      <alignment horizontal="center" vertical="center" textRotation="90" wrapText="1"/>
      <protection/>
    </xf>
    <xf numFmtId="0" fontId="61" fillId="43" borderId="23" xfId="61" applyFont="1" applyFill="1" applyBorder="1" applyAlignment="1">
      <alignment horizontal="center" vertical="center"/>
      <protection/>
    </xf>
    <xf numFmtId="0" fontId="59" fillId="43" borderId="27" xfId="61" applyFont="1" applyFill="1" applyBorder="1" applyAlignment="1">
      <alignment horizontal="center" vertical="center"/>
      <protection/>
    </xf>
    <xf numFmtId="0" fontId="61" fillId="0" borderId="23" xfId="61" applyFont="1" applyFill="1" applyBorder="1" applyAlignment="1">
      <alignment horizontal="center"/>
      <protection/>
    </xf>
    <xf numFmtId="0" fontId="61" fillId="0" borderId="28" xfId="61" applyFont="1" applyFill="1" applyBorder="1" applyAlignment="1">
      <alignment horizontal="center"/>
      <protection/>
    </xf>
    <xf numFmtId="0" fontId="61" fillId="0" borderId="27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arni No. Eigh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SheetLayoutView="100" zoomScalePageLayoutView="0" workbookViewId="0" topLeftCell="A1">
      <selection activeCell="E40" sqref="E40"/>
    </sheetView>
  </sheetViews>
  <sheetFormatPr defaultColWidth="9.140625" defaultRowHeight="15"/>
  <cols>
    <col min="1" max="1" width="1.7109375" style="0" customWidth="1"/>
    <col min="2" max="2" width="4.8515625" style="0" customWidth="1"/>
    <col min="3" max="3" width="24.421875" style="0" bestFit="1" customWidth="1"/>
    <col min="4" max="4" width="8.421875" style="0" customWidth="1"/>
    <col min="5" max="5" width="12.421875" style="0" customWidth="1"/>
    <col min="6" max="6" width="13.00390625" style="0" customWidth="1"/>
    <col min="7" max="8" width="13.57421875" style="0" customWidth="1"/>
    <col min="9" max="9" width="14.421875" style="0" customWidth="1"/>
  </cols>
  <sheetData>
    <row r="1" spans="2:9" ht="34.5">
      <c r="B1" s="1087" t="s">
        <v>0</v>
      </c>
      <c r="C1" s="1087"/>
      <c r="D1" s="1087"/>
      <c r="E1" s="1087"/>
      <c r="F1" s="1087"/>
      <c r="G1" s="1087"/>
      <c r="H1" s="1087"/>
      <c r="I1" s="1087"/>
    </row>
    <row r="2" spans="2:9" ht="27" customHeight="1">
      <c r="B2" s="1088" t="s">
        <v>354</v>
      </c>
      <c r="C2" s="1088"/>
      <c r="D2" s="1088"/>
      <c r="E2" s="1088"/>
      <c r="F2" s="1088"/>
      <c r="G2" s="1088"/>
      <c r="H2" s="1088"/>
      <c r="I2" s="1088"/>
    </row>
    <row r="3" spans="2:9" ht="27" customHeight="1">
      <c r="B3" s="1089" t="s">
        <v>379</v>
      </c>
      <c r="C3" s="1089"/>
      <c r="D3" s="1089"/>
      <c r="E3" s="1089"/>
      <c r="F3" s="1089"/>
      <c r="G3" s="1089"/>
      <c r="H3" s="1089"/>
      <c r="I3" s="1089"/>
    </row>
    <row r="4" spans="2:9" ht="21.75" customHeight="1">
      <c r="B4" s="1090" t="s">
        <v>4</v>
      </c>
      <c r="C4" s="514" t="s">
        <v>5</v>
      </c>
      <c r="D4" s="514" t="s">
        <v>6</v>
      </c>
      <c r="E4" s="514" t="s">
        <v>7</v>
      </c>
      <c r="F4" s="514" t="s">
        <v>8</v>
      </c>
      <c r="G4" s="514" t="s">
        <v>9</v>
      </c>
      <c r="H4" s="514" t="s">
        <v>10</v>
      </c>
      <c r="I4" s="514" t="s">
        <v>11</v>
      </c>
    </row>
    <row r="5" spans="2:9" ht="16.5">
      <c r="B5" s="1091"/>
      <c r="C5" s="514"/>
      <c r="D5" s="514" t="s">
        <v>268</v>
      </c>
      <c r="E5" s="514" t="s">
        <v>368</v>
      </c>
      <c r="F5" s="514" t="s">
        <v>361</v>
      </c>
      <c r="G5" s="514" t="s">
        <v>362</v>
      </c>
      <c r="H5" s="514" t="s">
        <v>352</v>
      </c>
      <c r="I5" s="514" t="s">
        <v>15</v>
      </c>
    </row>
    <row r="6" spans="2:9" ht="20.25" customHeight="1">
      <c r="B6" s="517" t="s">
        <v>369</v>
      </c>
      <c r="C6" s="517"/>
      <c r="D6" s="518"/>
      <c r="E6" s="518"/>
      <c r="F6" s="518"/>
      <c r="G6" s="518"/>
      <c r="H6" s="518"/>
      <c r="I6" s="518"/>
    </row>
    <row r="7" spans="2:9" ht="18" customHeight="1">
      <c r="B7" s="460">
        <v>1</v>
      </c>
      <c r="C7" s="461" t="s">
        <v>59</v>
      </c>
      <c r="D7" s="460">
        <v>0</v>
      </c>
      <c r="E7" s="460">
        <v>0</v>
      </c>
      <c r="F7" s="510">
        <v>0.00404</v>
      </c>
      <c r="G7" s="510">
        <v>8.559573</v>
      </c>
      <c r="H7" s="510">
        <v>318.47924</v>
      </c>
      <c r="I7" s="460">
        <v>0</v>
      </c>
    </row>
    <row r="8" spans="2:9" ht="18" customHeight="1">
      <c r="B8" s="460">
        <v>2</v>
      </c>
      <c r="C8" s="461" t="s">
        <v>259</v>
      </c>
      <c r="D8" s="460">
        <v>3</v>
      </c>
      <c r="E8" s="460">
        <v>706.25</v>
      </c>
      <c r="F8" s="510">
        <v>9.80523</v>
      </c>
      <c r="G8" s="510">
        <v>196.1046</v>
      </c>
      <c r="H8" s="510">
        <v>1519.3105</v>
      </c>
      <c r="I8" s="460">
        <v>1500</v>
      </c>
    </row>
    <row r="9" spans="2:10" ht="18" customHeight="1">
      <c r="B9" s="460">
        <v>3</v>
      </c>
      <c r="C9" s="461" t="s">
        <v>33</v>
      </c>
      <c r="D9" s="460">
        <v>17</v>
      </c>
      <c r="E9" s="460">
        <v>2247.1428</v>
      </c>
      <c r="F9" s="510">
        <v>5.33116</v>
      </c>
      <c r="G9" s="510">
        <v>43.1243948</v>
      </c>
      <c r="H9" s="510">
        <v>471.82205</v>
      </c>
      <c r="I9" s="460">
        <v>954</v>
      </c>
      <c r="J9" s="605"/>
    </row>
    <row r="10" spans="2:9" ht="18" customHeight="1">
      <c r="B10" s="460">
        <v>4</v>
      </c>
      <c r="C10" s="461" t="s">
        <v>55</v>
      </c>
      <c r="D10" s="460">
        <v>7</v>
      </c>
      <c r="E10" s="460">
        <v>6757.925</v>
      </c>
      <c r="F10" s="510">
        <v>86.32179</v>
      </c>
      <c r="G10" s="510">
        <v>1841.61008</v>
      </c>
      <c r="H10" s="510">
        <v>83800.19862</v>
      </c>
      <c r="I10" s="460">
        <v>5952</v>
      </c>
    </row>
    <row r="11" spans="2:9" ht="18" customHeight="1">
      <c r="B11" s="460">
        <v>5</v>
      </c>
      <c r="C11" s="461" t="s">
        <v>91</v>
      </c>
      <c r="D11" s="460">
        <v>0</v>
      </c>
      <c r="E11" s="460">
        <v>0</v>
      </c>
      <c r="F11" s="510">
        <v>1.6953</v>
      </c>
      <c r="G11" s="510">
        <v>0</v>
      </c>
      <c r="H11" s="510">
        <v>0</v>
      </c>
      <c r="I11" s="460">
        <v>0</v>
      </c>
    </row>
    <row r="12" spans="2:9" ht="18" customHeight="1">
      <c r="B12" s="460">
        <v>6</v>
      </c>
      <c r="C12" s="461" t="s">
        <v>57</v>
      </c>
      <c r="D12" s="460">
        <v>0</v>
      </c>
      <c r="E12" s="460">
        <v>0</v>
      </c>
      <c r="F12" s="510">
        <v>14.78922</v>
      </c>
      <c r="G12" s="510">
        <v>0</v>
      </c>
      <c r="H12" s="510">
        <v>0</v>
      </c>
      <c r="I12" s="460">
        <v>0</v>
      </c>
    </row>
    <row r="13" spans="2:9" ht="18" customHeight="1">
      <c r="B13" s="460">
        <v>7</v>
      </c>
      <c r="C13" s="461" t="s">
        <v>366</v>
      </c>
      <c r="D13" s="460">
        <v>0</v>
      </c>
      <c r="E13" s="460">
        <v>0</v>
      </c>
      <c r="F13" s="510">
        <v>0.00285</v>
      </c>
      <c r="G13" s="510">
        <v>1545.4796185</v>
      </c>
      <c r="H13" s="510">
        <v>10172.21948</v>
      </c>
      <c r="I13" s="460"/>
    </row>
    <row r="14" spans="2:9" ht="18" customHeight="1">
      <c r="B14" s="460">
        <v>8</v>
      </c>
      <c r="C14" s="461" t="s">
        <v>38</v>
      </c>
      <c r="D14" s="460">
        <v>1</v>
      </c>
      <c r="E14" s="460">
        <v>18.898</v>
      </c>
      <c r="F14" s="510">
        <v>0.04987</v>
      </c>
      <c r="G14" s="510">
        <v>1.24675</v>
      </c>
      <c r="H14" s="510">
        <v>8.38</v>
      </c>
      <c r="I14" s="460">
        <v>70</v>
      </c>
    </row>
    <row r="15" spans="2:9" ht="21.75" customHeight="1">
      <c r="B15" s="517" t="s">
        <v>370</v>
      </c>
      <c r="C15" s="517"/>
      <c r="D15" s="519"/>
      <c r="E15" s="518"/>
      <c r="F15" s="518"/>
      <c r="G15" s="518"/>
      <c r="H15" s="518"/>
      <c r="I15" s="518"/>
    </row>
    <row r="16" spans="2:9" ht="18" customHeight="1">
      <c r="B16" s="460">
        <v>9</v>
      </c>
      <c r="C16" s="461" t="s">
        <v>66</v>
      </c>
      <c r="D16" s="460">
        <v>91</v>
      </c>
      <c r="E16" s="460">
        <v>5303.75</v>
      </c>
      <c r="F16" s="510">
        <v>24.74187</v>
      </c>
      <c r="G16" s="510">
        <v>136.080285</v>
      </c>
      <c r="H16" s="510">
        <v>852.22825</v>
      </c>
      <c r="I16" s="460">
        <v>650</v>
      </c>
    </row>
    <row r="17" spans="2:9" ht="18" customHeight="1">
      <c r="B17" s="460">
        <v>10</v>
      </c>
      <c r="C17" s="461" t="s">
        <v>34</v>
      </c>
      <c r="D17" s="460">
        <v>2</v>
      </c>
      <c r="E17" s="460">
        <v>34.589</v>
      </c>
      <c r="F17" s="510">
        <v>0.06735</v>
      </c>
      <c r="G17" s="510">
        <v>0.370425</v>
      </c>
      <c r="H17" s="510">
        <v>2.29</v>
      </c>
      <c r="I17" s="460">
        <v>22</v>
      </c>
    </row>
    <row r="18" spans="2:9" ht="18" customHeight="1">
      <c r="B18" s="460">
        <v>11</v>
      </c>
      <c r="C18" s="461" t="s">
        <v>31</v>
      </c>
      <c r="D18" s="460">
        <v>38</v>
      </c>
      <c r="E18" s="460">
        <v>1158.9988</v>
      </c>
      <c r="F18" s="510">
        <v>0.62094</v>
      </c>
      <c r="G18" s="510">
        <v>2.235384</v>
      </c>
      <c r="H18" s="510">
        <v>45.82846</v>
      </c>
      <c r="I18" s="460">
        <v>630</v>
      </c>
    </row>
    <row r="19" spans="2:9" ht="18" customHeight="1">
      <c r="B19" s="460">
        <v>12</v>
      </c>
      <c r="C19" s="461" t="s">
        <v>47</v>
      </c>
      <c r="D19" s="460">
        <v>170</v>
      </c>
      <c r="E19" s="460">
        <v>3696.4035999999996</v>
      </c>
      <c r="F19" s="510">
        <v>17.1922</v>
      </c>
      <c r="G19" s="510">
        <v>61.4466</v>
      </c>
      <c r="H19" s="510">
        <v>455.41239</v>
      </c>
      <c r="I19" s="460">
        <v>1294</v>
      </c>
    </row>
    <row r="20" spans="2:9" ht="18" customHeight="1">
      <c r="B20" s="460">
        <v>13</v>
      </c>
      <c r="C20" s="461" t="s">
        <v>39</v>
      </c>
      <c r="D20" s="460">
        <v>14</v>
      </c>
      <c r="E20" s="460">
        <v>1147.8922000000002</v>
      </c>
      <c r="F20" s="510">
        <v>8.96021</v>
      </c>
      <c r="G20" s="510">
        <v>14.06897</v>
      </c>
      <c r="H20" s="510">
        <v>213.41</v>
      </c>
      <c r="I20" s="460">
        <v>339</v>
      </c>
    </row>
    <row r="21" spans="2:9" ht="18" customHeight="1">
      <c r="B21" s="460">
        <v>14</v>
      </c>
      <c r="C21" s="461" t="s">
        <v>23</v>
      </c>
      <c r="D21" s="460">
        <v>1</v>
      </c>
      <c r="E21" s="460">
        <v>46.32</v>
      </c>
      <c r="F21" s="510">
        <v>0</v>
      </c>
      <c r="G21" s="510">
        <v>0</v>
      </c>
      <c r="H21" s="510">
        <v>1.8528</v>
      </c>
      <c r="I21" s="460">
        <v>2</v>
      </c>
    </row>
    <row r="22" spans="2:9" ht="18" customHeight="1">
      <c r="B22" s="460">
        <v>15</v>
      </c>
      <c r="C22" s="461" t="s">
        <v>99</v>
      </c>
      <c r="D22" s="460">
        <v>1</v>
      </c>
      <c r="E22" s="460">
        <v>5</v>
      </c>
      <c r="F22" s="510">
        <v>0</v>
      </c>
      <c r="G22" s="510">
        <v>0</v>
      </c>
      <c r="H22" s="510">
        <v>0</v>
      </c>
      <c r="I22" s="460">
        <v>0</v>
      </c>
    </row>
    <row r="23" spans="2:9" ht="18" customHeight="1">
      <c r="B23" s="460">
        <v>16</v>
      </c>
      <c r="C23" s="461" t="s">
        <v>70</v>
      </c>
      <c r="D23" s="460">
        <v>6</v>
      </c>
      <c r="E23" s="460">
        <v>1084.95</v>
      </c>
      <c r="F23" s="510">
        <v>0</v>
      </c>
      <c r="G23" s="510">
        <v>0</v>
      </c>
      <c r="H23" s="510">
        <v>0</v>
      </c>
      <c r="I23" s="460">
        <v>15</v>
      </c>
    </row>
    <row r="24" spans="2:9" ht="18" customHeight="1">
      <c r="B24" s="460">
        <v>17</v>
      </c>
      <c r="C24" s="606" t="s">
        <v>386</v>
      </c>
      <c r="D24" s="460">
        <v>11</v>
      </c>
      <c r="E24" s="460">
        <v>48.5283</v>
      </c>
      <c r="F24" s="510">
        <v>0.00714</v>
      </c>
      <c r="G24" s="510">
        <v>0.0714</v>
      </c>
      <c r="H24" s="510">
        <v>2.7681</v>
      </c>
      <c r="I24" s="460">
        <v>12</v>
      </c>
    </row>
    <row r="25" spans="2:9" ht="18" customHeight="1">
      <c r="B25" s="460">
        <v>18</v>
      </c>
      <c r="C25" s="461" t="s">
        <v>48</v>
      </c>
      <c r="D25" s="460">
        <v>44</v>
      </c>
      <c r="E25" s="460">
        <v>13570.24</v>
      </c>
      <c r="F25" s="510">
        <v>27.17852</v>
      </c>
      <c r="G25" s="510">
        <v>133.210504</v>
      </c>
      <c r="H25" s="510">
        <v>3708.73877</v>
      </c>
      <c r="I25" s="460">
        <v>871</v>
      </c>
    </row>
    <row r="26" spans="2:9" ht="18" customHeight="1">
      <c r="B26" s="460">
        <v>19</v>
      </c>
      <c r="C26" s="461" t="s">
        <v>80</v>
      </c>
      <c r="D26" s="460">
        <v>7</v>
      </c>
      <c r="E26" s="460">
        <v>232.88000000000002</v>
      </c>
      <c r="F26" s="510">
        <v>0.0085</v>
      </c>
      <c r="G26" s="510">
        <v>0.89215</v>
      </c>
      <c r="H26" s="510">
        <v>0.47</v>
      </c>
      <c r="I26" s="460">
        <v>15</v>
      </c>
    </row>
    <row r="27" spans="2:9" ht="18" customHeight="1">
      <c r="B27" s="460">
        <v>20</v>
      </c>
      <c r="C27" s="461" t="s">
        <v>60</v>
      </c>
      <c r="D27" s="460">
        <v>3</v>
      </c>
      <c r="E27" s="460">
        <v>154</v>
      </c>
      <c r="F27" s="510">
        <v>0</v>
      </c>
      <c r="G27" s="510">
        <v>0</v>
      </c>
      <c r="H27" s="510">
        <v>0.08115</v>
      </c>
      <c r="I27" s="460">
        <v>5</v>
      </c>
    </row>
    <row r="28" spans="2:9" ht="18" customHeight="1">
      <c r="B28" s="460">
        <v>21</v>
      </c>
      <c r="C28" s="461" t="s">
        <v>43</v>
      </c>
      <c r="D28" s="460">
        <v>7</v>
      </c>
      <c r="E28" s="460">
        <v>11470.0035</v>
      </c>
      <c r="F28" s="510">
        <v>73.65043</v>
      </c>
      <c r="G28" s="510">
        <v>676.7097328</v>
      </c>
      <c r="H28" s="510">
        <v>5028.62717</v>
      </c>
      <c r="I28" s="460">
        <v>699</v>
      </c>
    </row>
    <row r="29" spans="2:9" ht="18" customHeight="1">
      <c r="B29" s="460">
        <v>22</v>
      </c>
      <c r="C29" s="461" t="s">
        <v>27</v>
      </c>
      <c r="D29" s="460">
        <v>35</v>
      </c>
      <c r="E29" s="460">
        <v>18064.17</v>
      </c>
      <c r="F29" s="510">
        <v>502.89896519999996</v>
      </c>
      <c r="G29" s="510">
        <v>1051.7487349</v>
      </c>
      <c r="H29" s="510">
        <v>33199.76607</v>
      </c>
      <c r="I29" s="460">
        <v>7593</v>
      </c>
    </row>
    <row r="30" spans="2:9" ht="18" customHeight="1">
      <c r="B30" s="460">
        <v>23</v>
      </c>
      <c r="C30" s="461" t="s">
        <v>24</v>
      </c>
      <c r="D30" s="460">
        <v>3</v>
      </c>
      <c r="E30" s="460">
        <v>14.4</v>
      </c>
      <c r="F30" s="510">
        <v>0</v>
      </c>
      <c r="G30" s="510">
        <v>0</v>
      </c>
      <c r="H30" s="510">
        <v>0</v>
      </c>
      <c r="I30" s="460">
        <v>0</v>
      </c>
    </row>
    <row r="31" spans="2:9" ht="18" customHeight="1">
      <c r="B31" s="460">
        <v>24</v>
      </c>
      <c r="C31" s="461" t="s">
        <v>270</v>
      </c>
      <c r="D31" s="460">
        <v>14</v>
      </c>
      <c r="E31" s="460">
        <v>116.41</v>
      </c>
      <c r="F31" s="510">
        <v>0.07184</v>
      </c>
      <c r="G31" s="510">
        <v>1.0624</v>
      </c>
      <c r="H31" s="510">
        <v>7.90872</v>
      </c>
      <c r="I31" s="460">
        <v>100</v>
      </c>
    </row>
    <row r="32" spans="2:9" ht="18" customHeight="1">
      <c r="B32" s="460">
        <v>25</v>
      </c>
      <c r="C32" s="461" t="s">
        <v>61</v>
      </c>
      <c r="D32" s="460">
        <v>75</v>
      </c>
      <c r="E32" s="460">
        <v>1528.2731999999999</v>
      </c>
      <c r="F32" s="510">
        <v>19.479618900000002</v>
      </c>
      <c r="G32" s="510">
        <v>37.5958698</v>
      </c>
      <c r="H32" s="510">
        <v>639.91234</v>
      </c>
      <c r="I32" s="460">
        <v>760</v>
      </c>
    </row>
    <row r="33" spans="2:9" ht="18" customHeight="1">
      <c r="B33" s="460">
        <v>26</v>
      </c>
      <c r="C33" s="461" t="s">
        <v>35</v>
      </c>
      <c r="D33" s="460">
        <v>7</v>
      </c>
      <c r="E33" s="460">
        <v>216.354</v>
      </c>
      <c r="F33" s="510">
        <v>0.2185</v>
      </c>
      <c r="G33" s="510">
        <v>0.45885</v>
      </c>
      <c r="H33" s="510">
        <v>9.0975</v>
      </c>
      <c r="I33" s="460">
        <v>85</v>
      </c>
    </row>
    <row r="34" spans="2:9" ht="18" customHeight="1">
      <c r="B34" s="460">
        <v>27</v>
      </c>
      <c r="C34" s="461" t="s">
        <v>17</v>
      </c>
      <c r="D34" s="460">
        <v>1115</v>
      </c>
      <c r="E34" s="460">
        <v>7866.31087</v>
      </c>
      <c r="F34" s="510">
        <v>6.93715</v>
      </c>
      <c r="G34" s="510">
        <v>18.2398336</v>
      </c>
      <c r="H34" s="510">
        <v>956.9799</v>
      </c>
      <c r="I34" s="460">
        <v>7391</v>
      </c>
    </row>
    <row r="35" spans="2:9" ht="18" customHeight="1">
      <c r="B35" s="460">
        <v>28</v>
      </c>
      <c r="C35" s="461" t="s">
        <v>21</v>
      </c>
      <c r="D35" s="460">
        <v>1114</v>
      </c>
      <c r="E35" s="460">
        <v>6390.194000000001</v>
      </c>
      <c r="F35" s="510">
        <v>20.7462423</v>
      </c>
      <c r="G35" s="510">
        <v>70.2556859</v>
      </c>
      <c r="H35" s="510">
        <v>1125.54883</v>
      </c>
      <c r="I35" s="460">
        <v>6277</v>
      </c>
    </row>
    <row r="36" spans="2:9" ht="18" customHeight="1">
      <c r="B36" s="460">
        <v>29</v>
      </c>
      <c r="C36" s="461" t="s">
        <v>111</v>
      </c>
      <c r="D36" s="460">
        <v>5</v>
      </c>
      <c r="E36" s="460">
        <v>2533.981</v>
      </c>
      <c r="F36" s="510">
        <v>14.39726</v>
      </c>
      <c r="G36" s="510">
        <v>287.9452</v>
      </c>
      <c r="H36" s="510">
        <v>7262.03</v>
      </c>
      <c r="I36" s="460">
        <v>1120</v>
      </c>
    </row>
    <row r="37" spans="2:9" ht="18" customHeight="1">
      <c r="B37" s="460">
        <v>30</v>
      </c>
      <c r="C37" s="461" t="s">
        <v>46</v>
      </c>
      <c r="D37" s="460">
        <v>4</v>
      </c>
      <c r="E37" s="460">
        <v>933.62</v>
      </c>
      <c r="F37" s="510">
        <v>0.07034</v>
      </c>
      <c r="G37" s="510">
        <v>0.8542304</v>
      </c>
      <c r="H37" s="510">
        <v>23</v>
      </c>
      <c r="I37" s="460">
        <v>43</v>
      </c>
    </row>
    <row r="38" spans="2:9" ht="18" customHeight="1">
      <c r="B38" s="460">
        <v>31</v>
      </c>
      <c r="C38" s="461" t="s">
        <v>36</v>
      </c>
      <c r="D38" s="460">
        <v>71</v>
      </c>
      <c r="E38" s="460">
        <v>1597.1738000000003</v>
      </c>
      <c r="F38" s="510">
        <v>8.004374799999999</v>
      </c>
      <c r="G38" s="510">
        <v>28.2434627</v>
      </c>
      <c r="H38" s="510">
        <v>307.89095</v>
      </c>
      <c r="I38" s="460">
        <v>1094</v>
      </c>
    </row>
    <row r="39" spans="2:9" ht="18" customHeight="1">
      <c r="B39" s="460">
        <v>32</v>
      </c>
      <c r="C39" s="461" t="s">
        <v>275</v>
      </c>
      <c r="D39" s="460">
        <v>15</v>
      </c>
      <c r="E39" s="460">
        <v>186.709</v>
      </c>
      <c r="F39" s="510">
        <v>0.18426</v>
      </c>
      <c r="G39" s="510">
        <v>1.47408</v>
      </c>
      <c r="H39" s="510">
        <v>21.44006</v>
      </c>
      <c r="I39" s="460">
        <v>30</v>
      </c>
    </row>
    <row r="40" spans="2:9" ht="18" customHeight="1">
      <c r="B40" s="460">
        <v>33</v>
      </c>
      <c r="C40" s="461" t="s">
        <v>25</v>
      </c>
      <c r="D40" s="460">
        <v>213</v>
      </c>
      <c r="E40" s="460">
        <v>11321.5249</v>
      </c>
      <c r="F40" s="510">
        <v>8.0464781</v>
      </c>
      <c r="G40" s="510">
        <v>68.4422007</v>
      </c>
      <c r="H40" s="510">
        <v>1269.88433</v>
      </c>
      <c r="I40" s="460">
        <v>6255</v>
      </c>
    </row>
    <row r="41" spans="2:9" ht="18" customHeight="1">
      <c r="B41" s="460">
        <v>34</v>
      </c>
      <c r="C41" s="461" t="s">
        <v>30</v>
      </c>
      <c r="D41" s="460">
        <v>2</v>
      </c>
      <c r="E41" s="460">
        <v>9.93</v>
      </c>
      <c r="F41" s="510">
        <v>0</v>
      </c>
      <c r="G41" s="510">
        <v>0</v>
      </c>
      <c r="H41" s="510">
        <v>0.1</v>
      </c>
      <c r="I41" s="460">
        <v>0</v>
      </c>
    </row>
    <row r="42" spans="2:9" ht="18" customHeight="1">
      <c r="B42" s="460">
        <v>35</v>
      </c>
      <c r="C42" s="461" t="s">
        <v>22</v>
      </c>
      <c r="D42" s="460">
        <v>10</v>
      </c>
      <c r="E42" s="460">
        <v>248.06</v>
      </c>
      <c r="F42" s="510">
        <v>1.88789</v>
      </c>
      <c r="G42" s="510">
        <v>16.78</v>
      </c>
      <c r="H42" s="510">
        <v>157.85</v>
      </c>
      <c r="I42" s="460">
        <v>248</v>
      </c>
    </row>
    <row r="43" spans="2:9" ht="18" customHeight="1">
      <c r="B43" s="460"/>
      <c r="C43" s="461" t="s">
        <v>41</v>
      </c>
      <c r="D43" s="460"/>
      <c r="E43" s="460"/>
      <c r="F43" s="510"/>
      <c r="G43" s="510"/>
      <c r="H43" s="510"/>
      <c r="I43" s="460"/>
    </row>
    <row r="44" spans="2:9" s="513" customFormat="1" ht="18" customHeight="1">
      <c r="B44" s="515"/>
      <c r="C44" s="515" t="s">
        <v>129</v>
      </c>
      <c r="D44" s="515">
        <f aca="true" t="shared" si="0" ref="D44:I44">SUM(D7:D43)</f>
        <v>3106</v>
      </c>
      <c r="E44" s="515">
        <f t="shared" si="0"/>
        <v>98710.88197</v>
      </c>
      <c r="F44" s="516">
        <f t="shared" si="0"/>
        <v>853.3695392999997</v>
      </c>
      <c r="G44" s="516">
        <f t="shared" si="0"/>
        <v>6244.3110151</v>
      </c>
      <c r="H44" s="515">
        <f t="shared" si="0"/>
        <v>151583.52568000005</v>
      </c>
      <c r="I44" s="515">
        <f t="shared" si="0"/>
        <v>44026</v>
      </c>
    </row>
  </sheetData>
  <sheetProtection password="86A8" sheet="1"/>
  <mergeCells count="4">
    <mergeCell ref="B1:I1"/>
    <mergeCell ref="B2:I2"/>
    <mergeCell ref="B3:I3"/>
    <mergeCell ref="B4:B5"/>
  </mergeCells>
  <printOptions/>
  <pageMargins left="0.7" right="0.7" top="0.75" bottom="0.75" header="0.3" footer="0.3"/>
  <pageSetup horizontalDpi="300" verticalDpi="3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9"/>
  <sheetViews>
    <sheetView zoomScaleSheetLayoutView="100" zoomScalePageLayoutView="0" workbookViewId="0" topLeftCell="A1">
      <selection activeCell="B59" sqref="B59:F59"/>
    </sheetView>
  </sheetViews>
  <sheetFormatPr defaultColWidth="9.140625" defaultRowHeight="15"/>
  <cols>
    <col min="1" max="1" width="2.28125" style="0" customWidth="1"/>
    <col min="2" max="2" width="6.00390625" style="0" customWidth="1"/>
    <col min="3" max="3" width="30.00390625" style="0" customWidth="1"/>
    <col min="4" max="4" width="14.8515625" style="0" customWidth="1"/>
    <col min="5" max="5" width="15.00390625" style="0" customWidth="1"/>
    <col min="6" max="6" width="18.7109375" style="0" customWidth="1"/>
  </cols>
  <sheetData>
    <row r="1" spans="2:6" ht="42" customHeight="1">
      <c r="B1" s="1179" t="s">
        <v>377</v>
      </c>
      <c r="C1" s="1179"/>
      <c r="D1" s="1179"/>
      <c r="E1" s="1179"/>
      <c r="F1" s="1179"/>
    </row>
    <row r="2" spans="2:6" ht="15.75" customHeight="1">
      <c r="B2" s="509"/>
      <c r="C2" s="509"/>
      <c r="D2" s="509"/>
      <c r="E2" s="509"/>
      <c r="F2" s="509"/>
    </row>
    <row r="3" spans="2:6" ht="37.5" customHeight="1">
      <c r="B3" s="1187" t="s">
        <v>293</v>
      </c>
      <c r="C3" s="1184" t="s">
        <v>294</v>
      </c>
      <c r="D3" s="1185" t="s">
        <v>295</v>
      </c>
      <c r="E3" s="1185" t="s">
        <v>296</v>
      </c>
      <c r="F3" s="1180" t="s">
        <v>297</v>
      </c>
    </row>
    <row r="4" spans="2:6" ht="17.25" customHeight="1">
      <c r="B4" s="1188"/>
      <c r="C4" s="1184"/>
      <c r="D4" s="1186"/>
      <c r="E4" s="1186"/>
      <c r="F4" s="1181"/>
    </row>
    <row r="5" spans="2:6" ht="30.75">
      <c r="B5" s="462" t="s">
        <v>298</v>
      </c>
      <c r="C5" s="462" t="s">
        <v>299</v>
      </c>
      <c r="D5" s="462"/>
      <c r="E5" s="462"/>
      <c r="F5" s="463"/>
    </row>
    <row r="6" spans="2:6" ht="30.75">
      <c r="B6" s="464">
        <v>1</v>
      </c>
      <c r="C6" s="464" t="s">
        <v>300</v>
      </c>
      <c r="D6" s="465">
        <v>7</v>
      </c>
      <c r="E6" s="465">
        <v>279</v>
      </c>
      <c r="F6" s="466">
        <v>0</v>
      </c>
    </row>
    <row r="7" spans="2:6" ht="30.75">
      <c r="B7" s="464">
        <v>2</v>
      </c>
      <c r="C7" s="464" t="s">
        <v>301</v>
      </c>
      <c r="D7" s="465">
        <v>17</v>
      </c>
      <c r="E7" s="465">
        <v>740</v>
      </c>
      <c r="F7" s="466">
        <v>0</v>
      </c>
    </row>
    <row r="8" spans="2:6" ht="30.75">
      <c r="B8" s="464">
        <v>3</v>
      </c>
      <c r="C8" s="464" t="s">
        <v>302</v>
      </c>
      <c r="D8" s="465">
        <v>0</v>
      </c>
      <c r="E8" s="465">
        <v>155</v>
      </c>
      <c r="F8" s="466">
        <v>0</v>
      </c>
    </row>
    <row r="9" spans="2:6" ht="30.75">
      <c r="B9" s="464">
        <v>4</v>
      </c>
      <c r="C9" s="464" t="s">
        <v>303</v>
      </c>
      <c r="D9" s="465">
        <v>54</v>
      </c>
      <c r="E9" s="465">
        <v>254</v>
      </c>
      <c r="F9" s="466">
        <v>0</v>
      </c>
    </row>
    <row r="10" spans="2:6" ht="30.75">
      <c r="B10" s="1182" t="s">
        <v>129</v>
      </c>
      <c r="C10" s="1183"/>
      <c r="D10" s="1077">
        <f>SUM(D6:D9)</f>
        <v>78</v>
      </c>
      <c r="E10" s="1077">
        <f>SUM(E6:E9)</f>
        <v>1428</v>
      </c>
      <c r="F10" s="1077">
        <f>SUM(F6:F9)</f>
        <v>0</v>
      </c>
    </row>
    <row r="11" spans="2:6" ht="30.75">
      <c r="B11" s="462" t="s">
        <v>304</v>
      </c>
      <c r="C11" s="462" t="s">
        <v>305</v>
      </c>
      <c r="D11" s="465"/>
      <c r="E11" s="465"/>
      <c r="F11" s="466"/>
    </row>
    <row r="12" spans="2:6" ht="30.75">
      <c r="B12" s="464">
        <v>1</v>
      </c>
      <c r="C12" s="464" t="s">
        <v>306</v>
      </c>
      <c r="D12" s="465">
        <v>113</v>
      </c>
      <c r="E12" s="465">
        <v>298</v>
      </c>
      <c r="F12" s="466">
        <v>61</v>
      </c>
    </row>
    <row r="13" spans="2:6" ht="30.75">
      <c r="B13" s="464">
        <v>2</v>
      </c>
      <c r="C13" s="464" t="s">
        <v>307</v>
      </c>
      <c r="D13" s="465">
        <v>24</v>
      </c>
      <c r="E13" s="465">
        <v>425</v>
      </c>
      <c r="F13" s="466">
        <v>192</v>
      </c>
    </row>
    <row r="14" spans="2:6" ht="30.75">
      <c r="B14" s="464">
        <v>3</v>
      </c>
      <c r="C14" s="464" t="s">
        <v>308</v>
      </c>
      <c r="D14" s="465">
        <v>75</v>
      </c>
      <c r="E14" s="465">
        <v>151</v>
      </c>
      <c r="F14" s="466">
        <v>0</v>
      </c>
    </row>
    <row r="15" spans="2:6" ht="30.75">
      <c r="B15" s="464">
        <v>4</v>
      </c>
      <c r="C15" s="464" t="s">
        <v>309</v>
      </c>
      <c r="D15" s="465">
        <v>17</v>
      </c>
      <c r="E15" s="465">
        <v>667</v>
      </c>
      <c r="F15" s="466">
        <v>0</v>
      </c>
    </row>
    <row r="16" spans="2:6" ht="30.75">
      <c r="B16" s="464">
        <v>5</v>
      </c>
      <c r="C16" s="464" t="s">
        <v>310</v>
      </c>
      <c r="D16" s="465">
        <v>19</v>
      </c>
      <c r="E16" s="465">
        <v>1</v>
      </c>
      <c r="F16" s="466">
        <v>0</v>
      </c>
    </row>
    <row r="17" spans="2:6" ht="30.75">
      <c r="B17" s="1182" t="s">
        <v>129</v>
      </c>
      <c r="C17" s="1183"/>
      <c r="D17" s="1077">
        <f>SUM(D12:D16)</f>
        <v>248</v>
      </c>
      <c r="E17" s="1077">
        <f>SUM(E12:E16)</f>
        <v>1542</v>
      </c>
      <c r="F17" s="1077">
        <f>SUM(F12:F16)</f>
        <v>253</v>
      </c>
    </row>
    <row r="18" spans="2:6" ht="30.75">
      <c r="B18" s="462" t="s">
        <v>311</v>
      </c>
      <c r="C18" s="462" t="s">
        <v>312</v>
      </c>
      <c r="D18" s="465"/>
      <c r="E18" s="465"/>
      <c r="F18" s="466"/>
    </row>
    <row r="19" spans="2:6" ht="30.75">
      <c r="B19" s="464">
        <v>1</v>
      </c>
      <c r="C19" s="464" t="s">
        <v>313</v>
      </c>
      <c r="D19" s="465">
        <v>562</v>
      </c>
      <c r="E19" s="465">
        <v>422</v>
      </c>
      <c r="F19" s="466">
        <v>0</v>
      </c>
    </row>
    <row r="20" spans="2:6" ht="30.75">
      <c r="B20" s="464">
        <v>2</v>
      </c>
      <c r="C20" s="464" t="s">
        <v>314</v>
      </c>
      <c r="D20" s="465">
        <v>61</v>
      </c>
      <c r="E20" s="465">
        <v>919</v>
      </c>
      <c r="F20" s="466">
        <v>0</v>
      </c>
    </row>
    <row r="21" spans="2:6" ht="30.75">
      <c r="B21" s="464">
        <v>3</v>
      </c>
      <c r="C21" s="464" t="s">
        <v>315</v>
      </c>
      <c r="D21" s="465">
        <v>3</v>
      </c>
      <c r="E21" s="465">
        <v>163</v>
      </c>
      <c r="F21" s="466">
        <v>708</v>
      </c>
    </row>
    <row r="22" spans="2:6" ht="30.75">
      <c r="B22" s="464">
        <v>4</v>
      </c>
      <c r="C22" s="464" t="s">
        <v>316</v>
      </c>
      <c r="D22" s="465">
        <v>166</v>
      </c>
      <c r="E22" s="465">
        <v>985</v>
      </c>
      <c r="F22" s="466">
        <v>0</v>
      </c>
    </row>
    <row r="23" spans="2:6" ht="30.75">
      <c r="B23" s="464">
        <v>5</v>
      </c>
      <c r="C23" s="464" t="s">
        <v>317</v>
      </c>
      <c r="D23" s="465">
        <v>62</v>
      </c>
      <c r="E23" s="465">
        <v>267</v>
      </c>
      <c r="F23" s="466">
        <v>0</v>
      </c>
    </row>
    <row r="24" spans="2:6" ht="30.75">
      <c r="B24" s="464">
        <v>6</v>
      </c>
      <c r="C24" s="464" t="s">
        <v>318</v>
      </c>
      <c r="D24" s="465">
        <v>61</v>
      </c>
      <c r="E24" s="465">
        <v>202</v>
      </c>
      <c r="F24" s="466">
        <v>0</v>
      </c>
    </row>
    <row r="25" spans="2:6" ht="30.75">
      <c r="B25" s="1182" t="s">
        <v>129</v>
      </c>
      <c r="C25" s="1183"/>
      <c r="D25" s="1077">
        <f>SUM(D19:D24)</f>
        <v>915</v>
      </c>
      <c r="E25" s="1077">
        <f>SUM(E19:E24)</f>
        <v>2958</v>
      </c>
      <c r="F25" s="1077">
        <f>SUM(F21:F24)</f>
        <v>708</v>
      </c>
    </row>
    <row r="26" spans="2:6" ht="30.75">
      <c r="B26" s="462" t="s">
        <v>319</v>
      </c>
      <c r="C26" s="462" t="s">
        <v>320</v>
      </c>
      <c r="D26" s="465"/>
      <c r="E26" s="465"/>
      <c r="F26" s="466"/>
    </row>
    <row r="27" spans="2:6" ht="30.75">
      <c r="B27" s="464">
        <v>1</v>
      </c>
      <c r="C27" s="464" t="s">
        <v>321</v>
      </c>
      <c r="D27" s="465">
        <v>1</v>
      </c>
      <c r="E27" s="465">
        <v>107</v>
      </c>
      <c r="F27" s="466">
        <v>0</v>
      </c>
    </row>
    <row r="28" spans="2:6" ht="30.75">
      <c r="B28" s="464">
        <v>2</v>
      </c>
      <c r="C28" s="464" t="s">
        <v>322</v>
      </c>
      <c r="D28" s="465">
        <v>1</v>
      </c>
      <c r="E28" s="465">
        <v>64</v>
      </c>
      <c r="F28" s="466">
        <v>0</v>
      </c>
    </row>
    <row r="29" spans="2:6" ht="30.75">
      <c r="B29" s="464">
        <v>3</v>
      </c>
      <c r="C29" s="464" t="s">
        <v>323</v>
      </c>
      <c r="D29" s="465">
        <v>0</v>
      </c>
      <c r="E29" s="465">
        <v>373</v>
      </c>
      <c r="F29" s="466">
        <v>0</v>
      </c>
    </row>
    <row r="30" spans="2:6" ht="30.75">
      <c r="B30" s="464">
        <v>4</v>
      </c>
      <c r="C30" s="464" t="s">
        <v>324</v>
      </c>
      <c r="D30" s="465">
        <v>3</v>
      </c>
      <c r="E30" s="465">
        <v>588</v>
      </c>
      <c r="F30" s="466">
        <v>0</v>
      </c>
    </row>
    <row r="31" spans="2:6" ht="30.75">
      <c r="B31" s="464">
        <v>5</v>
      </c>
      <c r="C31" s="464" t="s">
        <v>325</v>
      </c>
      <c r="D31" s="465">
        <v>0</v>
      </c>
      <c r="E31" s="465">
        <v>152</v>
      </c>
      <c r="F31" s="466">
        <v>0</v>
      </c>
    </row>
    <row r="32" spans="2:6" ht="30.75">
      <c r="B32" s="1182" t="s">
        <v>129</v>
      </c>
      <c r="C32" s="1183"/>
      <c r="D32" s="1077">
        <f>SUM(D27:D31)</f>
        <v>5</v>
      </c>
      <c r="E32" s="1077">
        <f>SUM(E27:E31)</f>
        <v>1284</v>
      </c>
      <c r="F32" s="1077">
        <f>SUM(F27:F31)</f>
        <v>0</v>
      </c>
    </row>
    <row r="33" spans="2:6" ht="30.75">
      <c r="B33" s="462" t="s">
        <v>326</v>
      </c>
      <c r="C33" s="462" t="s">
        <v>327</v>
      </c>
      <c r="D33" s="465"/>
      <c r="E33" s="465"/>
      <c r="F33" s="466"/>
    </row>
    <row r="34" spans="2:6" ht="30.75">
      <c r="B34" s="464">
        <v>1</v>
      </c>
      <c r="C34" s="464" t="s">
        <v>328</v>
      </c>
      <c r="D34" s="465">
        <v>9</v>
      </c>
      <c r="E34" s="465">
        <v>423</v>
      </c>
      <c r="F34" s="466">
        <v>6580</v>
      </c>
    </row>
    <row r="35" spans="2:6" ht="30.75">
      <c r="B35" s="464">
        <v>2</v>
      </c>
      <c r="C35" s="464" t="s">
        <v>329</v>
      </c>
      <c r="D35" s="465">
        <v>24</v>
      </c>
      <c r="E35" s="465">
        <v>259</v>
      </c>
      <c r="F35" s="466">
        <v>0</v>
      </c>
    </row>
    <row r="36" spans="2:6" ht="30.75">
      <c r="B36" s="464">
        <v>3</v>
      </c>
      <c r="C36" s="464" t="s">
        <v>330</v>
      </c>
      <c r="D36" s="465">
        <v>0</v>
      </c>
      <c r="E36" s="465">
        <v>73</v>
      </c>
      <c r="F36" s="466">
        <v>5885</v>
      </c>
    </row>
    <row r="37" spans="2:6" ht="30.75">
      <c r="B37" s="464">
        <v>4</v>
      </c>
      <c r="C37" s="464" t="s">
        <v>331</v>
      </c>
      <c r="D37" s="465">
        <v>16</v>
      </c>
      <c r="E37" s="465">
        <v>419</v>
      </c>
      <c r="F37" s="466">
        <v>0</v>
      </c>
    </row>
    <row r="38" spans="2:6" ht="30.75">
      <c r="B38" s="464">
        <v>5</v>
      </c>
      <c r="C38" s="464" t="s">
        <v>332</v>
      </c>
      <c r="D38" s="465">
        <v>59</v>
      </c>
      <c r="E38" s="465">
        <v>349</v>
      </c>
      <c r="F38" s="466">
        <v>157</v>
      </c>
    </row>
    <row r="39" spans="2:6" ht="30.75">
      <c r="B39" s="464">
        <v>6</v>
      </c>
      <c r="C39" s="464" t="s">
        <v>333</v>
      </c>
      <c r="D39" s="465">
        <v>6</v>
      </c>
      <c r="E39" s="465">
        <v>589</v>
      </c>
      <c r="F39" s="466">
        <v>0</v>
      </c>
    </row>
    <row r="40" spans="2:6" ht="30.75">
      <c r="B40" s="1182" t="s">
        <v>129</v>
      </c>
      <c r="C40" s="1183"/>
      <c r="D40" s="1077">
        <f>SUM(D34:D39)</f>
        <v>114</v>
      </c>
      <c r="E40" s="1077">
        <f>SUM(E34:E39)</f>
        <v>2112</v>
      </c>
      <c r="F40" s="1077">
        <f>SUM(F34:F39)</f>
        <v>12622</v>
      </c>
    </row>
    <row r="41" spans="2:6" ht="30.75">
      <c r="B41" s="462" t="s">
        <v>334</v>
      </c>
      <c r="C41" s="462" t="s">
        <v>335</v>
      </c>
      <c r="D41" s="465"/>
      <c r="E41" s="465"/>
      <c r="F41" s="466"/>
    </row>
    <row r="42" spans="2:6" ht="30.75">
      <c r="B42" s="464">
        <v>1</v>
      </c>
      <c r="C42" s="464" t="s">
        <v>336</v>
      </c>
      <c r="D42" s="465">
        <v>657</v>
      </c>
      <c r="E42" s="465">
        <v>262</v>
      </c>
      <c r="F42" s="466">
        <v>94</v>
      </c>
    </row>
    <row r="43" spans="2:6" ht="30.75">
      <c r="B43" s="464">
        <v>2</v>
      </c>
      <c r="C43" s="464" t="s">
        <v>337</v>
      </c>
      <c r="D43" s="465">
        <v>11</v>
      </c>
      <c r="E43" s="465">
        <v>2</v>
      </c>
      <c r="F43" s="466">
        <v>1573</v>
      </c>
    </row>
    <row r="44" spans="2:6" ht="30.75">
      <c r="B44" s="464">
        <v>3</v>
      </c>
      <c r="C44" s="464" t="s">
        <v>338</v>
      </c>
      <c r="D44" s="465">
        <v>48</v>
      </c>
      <c r="E44" s="465">
        <v>26</v>
      </c>
      <c r="F44" s="466">
        <v>1062</v>
      </c>
    </row>
    <row r="45" spans="2:6" ht="30.75">
      <c r="B45" s="464">
        <v>4</v>
      </c>
      <c r="C45" s="464" t="s">
        <v>339</v>
      </c>
      <c r="D45" s="465">
        <v>39</v>
      </c>
      <c r="E45" s="465">
        <v>39</v>
      </c>
      <c r="F45" s="466">
        <v>1672</v>
      </c>
    </row>
    <row r="46" spans="2:6" ht="30.75">
      <c r="B46" s="1182" t="s">
        <v>129</v>
      </c>
      <c r="C46" s="1183"/>
      <c r="D46" s="1077">
        <f>SUM(D42:D45)</f>
        <v>755</v>
      </c>
      <c r="E46" s="1077">
        <f>SUM(E42:E45)</f>
        <v>329</v>
      </c>
      <c r="F46" s="1077">
        <f>SUM(F42:F45)</f>
        <v>4401</v>
      </c>
    </row>
    <row r="47" spans="2:6" ht="30.75">
      <c r="B47" s="462" t="s">
        <v>340</v>
      </c>
      <c r="C47" s="462" t="s">
        <v>341</v>
      </c>
      <c r="D47" s="465"/>
      <c r="E47" s="465"/>
      <c r="F47" s="466"/>
    </row>
    <row r="48" spans="2:6" ht="30.75">
      <c r="B48" s="464">
        <v>1</v>
      </c>
      <c r="C48" s="464" t="s">
        <v>342</v>
      </c>
      <c r="D48" s="465">
        <v>122</v>
      </c>
      <c r="E48" s="465">
        <v>285</v>
      </c>
      <c r="F48" s="466">
        <v>0</v>
      </c>
    </row>
    <row r="49" spans="2:6" ht="30.75">
      <c r="B49" s="464">
        <v>2</v>
      </c>
      <c r="C49" s="464" t="s">
        <v>343</v>
      </c>
      <c r="D49" s="465">
        <v>98</v>
      </c>
      <c r="E49" s="465">
        <v>625</v>
      </c>
      <c r="F49" s="466">
        <v>0</v>
      </c>
    </row>
    <row r="50" spans="2:6" ht="30.75">
      <c r="B50" s="464">
        <v>3</v>
      </c>
      <c r="C50" s="464" t="s">
        <v>344</v>
      </c>
      <c r="D50" s="465">
        <v>188</v>
      </c>
      <c r="E50" s="465">
        <v>391</v>
      </c>
      <c r="F50" s="466">
        <v>0</v>
      </c>
    </row>
    <row r="51" spans="2:6" ht="30.75">
      <c r="B51" s="464">
        <v>4</v>
      </c>
      <c r="C51" s="464" t="s">
        <v>345</v>
      </c>
      <c r="D51" s="465">
        <v>441</v>
      </c>
      <c r="E51" s="465">
        <v>283</v>
      </c>
      <c r="F51" s="466">
        <v>0</v>
      </c>
    </row>
    <row r="52" spans="2:6" ht="30.75">
      <c r="B52" s="464">
        <v>5</v>
      </c>
      <c r="C52" s="464" t="s">
        <v>346</v>
      </c>
      <c r="D52" s="465">
        <v>52</v>
      </c>
      <c r="E52" s="465">
        <v>62</v>
      </c>
      <c r="F52" s="466">
        <v>0</v>
      </c>
    </row>
    <row r="53" spans="2:6" ht="30.75">
      <c r="B53" s="464">
        <v>6</v>
      </c>
      <c r="C53" s="464" t="s">
        <v>347</v>
      </c>
      <c r="D53" s="465">
        <v>39</v>
      </c>
      <c r="E53" s="465">
        <v>176</v>
      </c>
      <c r="F53" s="466">
        <v>0</v>
      </c>
    </row>
    <row r="54" spans="2:6" ht="30.75">
      <c r="B54" s="464">
        <v>7</v>
      </c>
      <c r="C54" s="464" t="s">
        <v>348</v>
      </c>
      <c r="D54" s="465">
        <v>14</v>
      </c>
      <c r="E54" s="465">
        <v>45</v>
      </c>
      <c r="F54" s="466">
        <v>2</v>
      </c>
    </row>
    <row r="55" spans="2:6" ht="30.75">
      <c r="B55" s="464">
        <v>8</v>
      </c>
      <c r="C55" s="464" t="s">
        <v>349</v>
      </c>
      <c r="D55" s="465">
        <v>4</v>
      </c>
      <c r="E55" s="465">
        <v>126</v>
      </c>
      <c r="F55" s="466">
        <v>6</v>
      </c>
    </row>
    <row r="56" spans="2:6" ht="30.75">
      <c r="B56" s="464">
        <v>9</v>
      </c>
      <c r="C56" s="464" t="s">
        <v>350</v>
      </c>
      <c r="D56" s="465">
        <v>33</v>
      </c>
      <c r="E56" s="465">
        <v>112</v>
      </c>
      <c r="F56" s="466">
        <v>12</v>
      </c>
    </row>
    <row r="57" spans="2:6" ht="30.75">
      <c r="B57" s="1182" t="s">
        <v>129</v>
      </c>
      <c r="C57" s="1183"/>
      <c r="D57" s="1077">
        <f>SUM(D48:D56)</f>
        <v>991</v>
      </c>
      <c r="E57" s="1077">
        <f>SUM(E48:E56)</f>
        <v>2105</v>
      </c>
      <c r="F57" s="1077">
        <f>SUM(F48:F56)</f>
        <v>20</v>
      </c>
    </row>
    <row r="58" spans="2:6" ht="30">
      <c r="B58" s="1191"/>
      <c r="C58" s="1192"/>
      <c r="D58" s="1192"/>
      <c r="E58" s="1192"/>
      <c r="F58" s="1193"/>
    </row>
    <row r="59" spans="2:6" ht="30.75">
      <c r="B59" s="1189" t="s">
        <v>351</v>
      </c>
      <c r="C59" s="1190"/>
      <c r="D59" s="1078">
        <f>D10+D17+D25+D32+D40+D46+D57</f>
        <v>3106</v>
      </c>
      <c r="E59" s="1078">
        <f>E10+E17+E25+E32+E40+E46+E57</f>
        <v>11758</v>
      </c>
      <c r="F59" s="1078">
        <f>F10+F17+F25+F32+F40+F46+F57</f>
        <v>18004</v>
      </c>
    </row>
  </sheetData>
  <sheetProtection password="86A8" sheet="1"/>
  <mergeCells count="15">
    <mergeCell ref="B59:C59"/>
    <mergeCell ref="B25:C25"/>
    <mergeCell ref="B32:C32"/>
    <mergeCell ref="B40:C40"/>
    <mergeCell ref="B46:C46"/>
    <mergeCell ref="B57:C57"/>
    <mergeCell ref="B58:F58"/>
    <mergeCell ref="B1:F1"/>
    <mergeCell ref="F3:F4"/>
    <mergeCell ref="B10:C10"/>
    <mergeCell ref="B17:C17"/>
    <mergeCell ref="C3:C4"/>
    <mergeCell ref="D3:D4"/>
    <mergeCell ref="E3:E4"/>
    <mergeCell ref="B3:B4"/>
  </mergeCells>
  <printOptions/>
  <pageMargins left="0.7" right="0.7" top="0.75" bottom="0.75" header="0.3" footer="0.3"/>
  <pageSetup horizontalDpi="300" verticalDpi="300" orientation="portrait" paperSize="9" scale="7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.28125" style="0" customWidth="1"/>
    <col min="2" max="2" width="22.57421875" style="0" customWidth="1"/>
    <col min="3" max="3" width="8.421875" style="0" customWidth="1"/>
    <col min="4" max="4" width="11.7109375" style="0" customWidth="1"/>
    <col min="5" max="5" width="11.140625" style="0" customWidth="1"/>
    <col min="6" max="6" width="13.28125" style="0" customWidth="1"/>
    <col min="7" max="7" width="14.7109375" style="0" customWidth="1"/>
    <col min="8" max="8" width="12.421875" style="0" customWidth="1"/>
  </cols>
  <sheetData>
    <row r="1" spans="1:8" ht="33">
      <c r="A1" s="1092" t="s">
        <v>0</v>
      </c>
      <c r="B1" s="1092"/>
      <c r="C1" s="1092"/>
      <c r="D1" s="1092"/>
      <c r="E1" s="1092"/>
      <c r="F1" s="1092"/>
      <c r="G1" s="1092"/>
      <c r="H1" s="1092"/>
    </row>
    <row r="2" spans="1:8" ht="27" customHeight="1">
      <c r="A2" s="1093" t="s">
        <v>353</v>
      </c>
      <c r="B2" s="1093"/>
      <c r="C2" s="1093"/>
      <c r="D2" s="1093"/>
      <c r="E2" s="1093"/>
      <c r="F2" s="1093"/>
      <c r="G2" s="1093"/>
      <c r="H2" s="1093"/>
    </row>
    <row r="3" spans="1:8" ht="27" customHeight="1">
      <c r="A3" s="1094" t="s">
        <v>379</v>
      </c>
      <c r="B3" s="1094"/>
      <c r="C3" s="1094"/>
      <c r="D3" s="1094"/>
      <c r="E3" s="1094"/>
      <c r="F3" s="1094"/>
      <c r="G3" s="1094"/>
      <c r="H3" s="1094"/>
    </row>
    <row r="4" spans="1:8" ht="15.75" customHeight="1">
      <c r="A4" s="1095" t="s">
        <v>4</v>
      </c>
      <c r="B4" s="1097" t="s">
        <v>5</v>
      </c>
      <c r="C4" s="467" t="s">
        <v>6</v>
      </c>
      <c r="D4" s="467" t="s">
        <v>7</v>
      </c>
      <c r="E4" s="467" t="s">
        <v>8</v>
      </c>
      <c r="F4" s="467" t="s">
        <v>9</v>
      </c>
      <c r="G4" s="467" t="s">
        <v>10</v>
      </c>
      <c r="H4" s="467" t="s">
        <v>11</v>
      </c>
    </row>
    <row r="5" spans="1:8" ht="15">
      <c r="A5" s="1096"/>
      <c r="B5" s="1098"/>
      <c r="C5" s="468" t="s">
        <v>268</v>
      </c>
      <c r="D5" s="468" t="s">
        <v>277</v>
      </c>
      <c r="E5" s="468" t="s">
        <v>363</v>
      </c>
      <c r="F5" s="469" t="s">
        <v>364</v>
      </c>
      <c r="G5" s="469" t="s">
        <v>365</v>
      </c>
      <c r="H5" s="468" t="s">
        <v>15</v>
      </c>
    </row>
    <row r="6" spans="1:8" ht="19.5" customHeight="1">
      <c r="A6" s="455">
        <v>1</v>
      </c>
      <c r="B6" s="455" t="s">
        <v>141</v>
      </c>
      <c r="C6" s="455">
        <v>32</v>
      </c>
      <c r="D6" s="604">
        <v>119.67</v>
      </c>
      <c r="E6" s="604">
        <v>1.80526</v>
      </c>
      <c r="F6" s="604">
        <v>17.902884</v>
      </c>
      <c r="G6" s="604">
        <v>164.5317</v>
      </c>
      <c r="H6" s="455">
        <v>424</v>
      </c>
    </row>
    <row r="7" spans="1:8" ht="19.5" customHeight="1">
      <c r="A7" s="455">
        <v>2</v>
      </c>
      <c r="B7" s="455" t="s">
        <v>135</v>
      </c>
      <c r="C7" s="455">
        <v>19</v>
      </c>
      <c r="D7" s="604">
        <v>15.5</v>
      </c>
      <c r="E7" s="604">
        <v>208.820435</v>
      </c>
      <c r="F7" s="604">
        <v>1421.4462845</v>
      </c>
      <c r="G7" s="604">
        <v>4173.79273</v>
      </c>
      <c r="H7" s="455">
        <v>28395</v>
      </c>
    </row>
    <row r="8" spans="1:8" ht="19.5" customHeight="1">
      <c r="A8" s="455">
        <v>3</v>
      </c>
      <c r="B8" s="455" t="s">
        <v>136</v>
      </c>
      <c r="C8" s="455">
        <v>3</v>
      </c>
      <c r="D8" s="604">
        <v>2.71</v>
      </c>
      <c r="E8" s="604">
        <v>0.01267</v>
      </c>
      <c r="F8" s="604">
        <v>0.027843</v>
      </c>
      <c r="G8" s="604">
        <v>1.13427</v>
      </c>
      <c r="H8" s="455">
        <v>24</v>
      </c>
    </row>
    <row r="9" spans="1:8" ht="19.5" customHeight="1">
      <c r="A9" s="455">
        <v>4</v>
      </c>
      <c r="B9" s="455" t="s">
        <v>170</v>
      </c>
      <c r="C9" s="455">
        <v>40</v>
      </c>
      <c r="D9" s="604">
        <v>26.319</v>
      </c>
      <c r="E9" s="604">
        <v>9.06051</v>
      </c>
      <c r="F9" s="604">
        <v>27.147235</v>
      </c>
      <c r="G9" s="604">
        <v>47.56349</v>
      </c>
      <c r="H9" s="455">
        <v>296</v>
      </c>
    </row>
    <row r="10" spans="1:8" ht="19.5" customHeight="1">
      <c r="A10" s="455">
        <v>5</v>
      </c>
      <c r="B10" s="455" t="s">
        <v>168</v>
      </c>
      <c r="C10" s="455">
        <v>27</v>
      </c>
      <c r="D10" s="604">
        <v>221.91</v>
      </c>
      <c r="E10" s="604">
        <v>0.47394</v>
      </c>
      <c r="F10" s="604">
        <v>4.871124</v>
      </c>
      <c r="G10" s="604">
        <v>25.54446</v>
      </c>
      <c r="H10" s="455">
        <v>1880</v>
      </c>
    </row>
    <row r="11" spans="1:8" ht="19.5" customHeight="1">
      <c r="A11" s="455">
        <v>6</v>
      </c>
      <c r="B11" s="455" t="s">
        <v>122</v>
      </c>
      <c r="C11" s="455">
        <v>832</v>
      </c>
      <c r="D11" s="604">
        <v>1851.1541</v>
      </c>
      <c r="E11" s="604">
        <v>28.49522</v>
      </c>
      <c r="F11" s="604">
        <v>437.37436</v>
      </c>
      <c r="G11" s="604">
        <v>2804.84492</v>
      </c>
      <c r="H11" s="455">
        <v>5848</v>
      </c>
    </row>
    <row r="12" spans="1:8" ht="19.5" customHeight="1">
      <c r="A12" s="455">
        <v>7</v>
      </c>
      <c r="B12" s="455" t="s">
        <v>123</v>
      </c>
      <c r="C12" s="455">
        <v>75</v>
      </c>
      <c r="D12" s="604">
        <v>213.9491</v>
      </c>
      <c r="E12" s="604">
        <v>1460.7383</v>
      </c>
      <c r="F12" s="604">
        <v>1255.8623585</v>
      </c>
      <c r="G12" s="604">
        <v>17335.57041</v>
      </c>
      <c r="H12" s="455">
        <v>30460</v>
      </c>
    </row>
    <row r="13" spans="1:8" ht="19.5" customHeight="1">
      <c r="A13" s="455">
        <v>8</v>
      </c>
      <c r="B13" s="455" t="s">
        <v>137</v>
      </c>
      <c r="C13" s="455">
        <v>444</v>
      </c>
      <c r="D13" s="604">
        <v>11874.202899999997</v>
      </c>
      <c r="E13" s="604">
        <v>62.7725246</v>
      </c>
      <c r="F13" s="604">
        <v>116.248635</v>
      </c>
      <c r="G13" s="604">
        <v>4346.91984</v>
      </c>
      <c r="H13" s="455">
        <v>4756</v>
      </c>
    </row>
    <row r="14" spans="1:8" ht="19.5" customHeight="1">
      <c r="A14" s="455">
        <v>9</v>
      </c>
      <c r="B14" s="455" t="s">
        <v>165</v>
      </c>
      <c r="C14" s="455">
        <v>590</v>
      </c>
      <c r="D14" s="604">
        <v>2293.9</v>
      </c>
      <c r="E14" s="604">
        <v>52.373</v>
      </c>
      <c r="F14" s="604">
        <v>632.722613</v>
      </c>
      <c r="G14" s="604">
        <v>6091.99523</v>
      </c>
      <c r="H14" s="455">
        <v>9216</v>
      </c>
    </row>
    <row r="15" spans="1:8" ht="19.5" customHeight="1">
      <c r="A15" s="455">
        <v>10</v>
      </c>
      <c r="B15" s="455" t="s">
        <v>124</v>
      </c>
      <c r="C15" s="455">
        <v>1943</v>
      </c>
      <c r="D15" s="604">
        <v>3842.8663</v>
      </c>
      <c r="E15" s="604">
        <v>138.76887</v>
      </c>
      <c r="F15" s="604">
        <v>1711.5872617</v>
      </c>
      <c r="G15" s="604">
        <v>25462.89553</v>
      </c>
      <c r="H15" s="455">
        <v>33649</v>
      </c>
    </row>
    <row r="16" spans="1:8" ht="19.5" customHeight="1">
      <c r="A16" s="455">
        <v>11</v>
      </c>
      <c r="B16" s="455" t="s">
        <v>125</v>
      </c>
      <c r="C16" s="455">
        <v>5691</v>
      </c>
      <c r="D16" s="604">
        <v>6045.5647</v>
      </c>
      <c r="E16" s="604">
        <v>702.5100328</v>
      </c>
      <c r="F16" s="604">
        <v>840.9053596</v>
      </c>
      <c r="G16" s="604">
        <v>20036.2174</v>
      </c>
      <c r="H16" s="455">
        <v>57589</v>
      </c>
    </row>
    <row r="17" spans="1:8" ht="19.5" customHeight="1">
      <c r="A17" s="455">
        <v>12</v>
      </c>
      <c r="B17" s="455" t="s">
        <v>149</v>
      </c>
      <c r="C17" s="455">
        <v>5</v>
      </c>
      <c r="D17" s="604">
        <v>88.5764</v>
      </c>
      <c r="E17" s="604">
        <v>0.013880799999999999</v>
      </c>
      <c r="F17" s="604">
        <v>0.0408892</v>
      </c>
      <c r="G17" s="604">
        <v>1.5982</v>
      </c>
      <c r="H17" s="455">
        <v>42</v>
      </c>
    </row>
    <row r="18" spans="1:8" ht="19.5" customHeight="1">
      <c r="A18" s="455">
        <v>13</v>
      </c>
      <c r="B18" s="455" t="s">
        <v>145</v>
      </c>
      <c r="C18" s="455"/>
      <c r="D18" s="604"/>
      <c r="E18" s="604">
        <v>52.09</v>
      </c>
      <c r="F18" s="604">
        <v>32.395895</v>
      </c>
      <c r="G18" s="604">
        <v>132.20961</v>
      </c>
      <c r="H18" s="455">
        <v>410</v>
      </c>
    </row>
    <row r="19" spans="1:8" ht="19.5" customHeight="1">
      <c r="A19" s="455">
        <v>14</v>
      </c>
      <c r="B19" s="455" t="s">
        <v>265</v>
      </c>
      <c r="C19" s="455"/>
      <c r="D19" s="604"/>
      <c r="E19" s="604">
        <v>43.93208</v>
      </c>
      <c r="F19" s="604">
        <v>35.8539508</v>
      </c>
      <c r="G19" s="604">
        <v>340.71438</v>
      </c>
      <c r="H19" s="455">
        <v>4170</v>
      </c>
    </row>
    <row r="20" spans="1:8" ht="19.5" customHeight="1">
      <c r="A20" s="455">
        <v>15</v>
      </c>
      <c r="B20" s="455" t="s">
        <v>183</v>
      </c>
      <c r="C20" s="455">
        <v>74</v>
      </c>
      <c r="D20" s="604">
        <v>125.20750000000001</v>
      </c>
      <c r="E20" s="604">
        <v>2.22784</v>
      </c>
      <c r="F20" s="604">
        <v>7.272445</v>
      </c>
      <c r="G20" s="604">
        <v>87.88708</v>
      </c>
      <c r="H20" s="455">
        <v>288</v>
      </c>
    </row>
    <row r="21" spans="1:8" ht="19.5" customHeight="1">
      <c r="A21" s="455">
        <v>16</v>
      </c>
      <c r="B21" s="455" t="s">
        <v>131</v>
      </c>
      <c r="C21" s="455">
        <v>44</v>
      </c>
      <c r="D21" s="604">
        <v>44.08</v>
      </c>
      <c r="E21" s="604">
        <v>0.11984</v>
      </c>
      <c r="F21" s="604">
        <v>0.26964</v>
      </c>
      <c r="G21" s="604">
        <v>17.56</v>
      </c>
      <c r="H21" s="455">
        <v>17</v>
      </c>
    </row>
    <row r="22" spans="1:8" ht="19.5" customHeight="1">
      <c r="A22" s="455">
        <v>17</v>
      </c>
      <c r="B22" s="455" t="s">
        <v>166</v>
      </c>
      <c r="C22" s="455">
        <v>217</v>
      </c>
      <c r="D22" s="604">
        <v>223.35</v>
      </c>
      <c r="E22" s="604">
        <v>10.98419</v>
      </c>
      <c r="F22" s="604">
        <v>8.8595325</v>
      </c>
      <c r="G22" s="604">
        <v>197.14</v>
      </c>
      <c r="H22" s="455">
        <v>898</v>
      </c>
    </row>
    <row r="23" spans="1:8" ht="19.5" customHeight="1">
      <c r="A23" s="455">
        <v>18</v>
      </c>
      <c r="B23" s="455" t="s">
        <v>184</v>
      </c>
      <c r="C23" s="455">
        <v>1</v>
      </c>
      <c r="D23" s="604"/>
      <c r="E23" s="604"/>
      <c r="F23" s="604">
        <v>0.2925</v>
      </c>
      <c r="G23" s="604">
        <v>1.31</v>
      </c>
      <c r="H23" s="455">
        <v>15</v>
      </c>
    </row>
    <row r="24" spans="1:8" ht="19.5" customHeight="1">
      <c r="A24" s="455">
        <v>19</v>
      </c>
      <c r="B24" s="455" t="s">
        <v>140</v>
      </c>
      <c r="C24" s="455">
        <v>1280</v>
      </c>
      <c r="D24" s="604">
        <v>12408.4228</v>
      </c>
      <c r="E24" s="604">
        <v>131.798</v>
      </c>
      <c r="F24" s="604">
        <v>738.7507958</v>
      </c>
      <c r="G24" s="604">
        <v>13524.69385</v>
      </c>
      <c r="H24" s="455">
        <v>76573</v>
      </c>
    </row>
    <row r="25" spans="1:8" ht="19.5" customHeight="1">
      <c r="A25" s="455">
        <v>20</v>
      </c>
      <c r="B25" s="455" t="s">
        <v>162</v>
      </c>
      <c r="C25" s="455">
        <v>288</v>
      </c>
      <c r="D25" s="604">
        <v>325.96</v>
      </c>
      <c r="E25" s="604">
        <v>15.07422</v>
      </c>
      <c r="F25" s="604">
        <v>223.9466653</v>
      </c>
      <c r="G25" s="604">
        <v>2939.47558</v>
      </c>
      <c r="H25" s="455">
        <v>2450</v>
      </c>
    </row>
    <row r="26" spans="1:8" ht="19.5" customHeight="1">
      <c r="A26" s="455">
        <v>21</v>
      </c>
      <c r="B26" s="455" t="s">
        <v>127</v>
      </c>
      <c r="C26" s="455">
        <v>19</v>
      </c>
      <c r="D26" s="604">
        <v>37.74</v>
      </c>
      <c r="E26" s="604">
        <v>0.20245</v>
      </c>
      <c r="F26" s="604">
        <v>0.41615</v>
      </c>
      <c r="G26" s="604">
        <v>17.6253</v>
      </c>
      <c r="H26" s="455">
        <v>109</v>
      </c>
    </row>
    <row r="27" spans="1:8" ht="19.5" customHeight="1">
      <c r="A27" s="455">
        <v>22</v>
      </c>
      <c r="B27" s="455" t="s">
        <v>160</v>
      </c>
      <c r="C27" s="455">
        <v>134</v>
      </c>
      <c r="D27" s="604">
        <v>102.74</v>
      </c>
      <c r="E27" s="604">
        <v>42.59922</v>
      </c>
      <c r="F27" s="604">
        <v>42.999692</v>
      </c>
      <c r="G27" s="604">
        <v>738.35148</v>
      </c>
      <c r="H27" s="455">
        <v>950</v>
      </c>
    </row>
    <row r="28" spans="1:8" ht="19.5" customHeight="1">
      <c r="A28" s="455"/>
      <c r="B28" s="455" t="s">
        <v>128</v>
      </c>
      <c r="C28" s="455"/>
      <c r="D28" s="604"/>
      <c r="E28" s="604"/>
      <c r="F28" s="604"/>
      <c r="G28" s="604">
        <v>6140.87795</v>
      </c>
      <c r="H28" s="455"/>
    </row>
    <row r="29" spans="1:8" ht="19.5" customHeight="1">
      <c r="A29" s="455"/>
      <c r="B29" s="455" t="s">
        <v>41</v>
      </c>
      <c r="C29" s="455"/>
      <c r="D29" s="604"/>
      <c r="E29" s="604"/>
      <c r="F29" s="604"/>
      <c r="G29" s="604">
        <v>10469.49165</v>
      </c>
      <c r="H29" s="455"/>
    </row>
    <row r="30" spans="1:8" ht="24.75" customHeight="1">
      <c r="A30" s="511"/>
      <c r="B30" s="511" t="s">
        <v>129</v>
      </c>
      <c r="C30" s="511">
        <f aca="true" t="shared" si="0" ref="C30:H30">SUM(C6:C29)</f>
        <v>11758</v>
      </c>
      <c r="D30" s="511">
        <f t="shared" si="0"/>
        <v>39863.822799999994</v>
      </c>
      <c r="E30" s="512">
        <f>SUM(E6:E29)</f>
        <v>2964.8724832000007</v>
      </c>
      <c r="F30" s="512">
        <f>SUM(F6:F29)</f>
        <v>7557.194113899999</v>
      </c>
      <c r="G30" s="512">
        <f>SUM(G6:G29)</f>
        <v>115099.94505999998</v>
      </c>
      <c r="H30" s="511">
        <f t="shared" si="0"/>
        <v>258459</v>
      </c>
    </row>
  </sheetData>
  <sheetProtection password="86A8" sheet="1"/>
  <mergeCells count="5">
    <mergeCell ref="A1:H1"/>
    <mergeCell ref="A2:H2"/>
    <mergeCell ref="A3:H3"/>
    <mergeCell ref="A4:A5"/>
    <mergeCell ref="B4:B5"/>
  </mergeCells>
  <printOptions/>
  <pageMargins left="0.7" right="0.7" top="0.75" bottom="0.75" header="0.3" footer="0.3"/>
  <pageSetup horizontalDpi="600" verticalDpi="600" orientation="portrait" paperSize="5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1"/>
  <sheetViews>
    <sheetView zoomScaleSheetLayoutView="100" workbookViewId="0" topLeftCell="A1">
      <selection activeCell="F358" sqref="F358:G359"/>
    </sheetView>
  </sheetViews>
  <sheetFormatPr defaultColWidth="9.140625" defaultRowHeight="15"/>
  <cols>
    <col min="1" max="1" width="4.140625" style="0" customWidth="1"/>
    <col min="2" max="2" width="22.28125" style="0" customWidth="1"/>
    <col min="3" max="3" width="9.8515625" style="0" customWidth="1"/>
    <col min="4" max="4" width="16.28125" style="0" customWidth="1"/>
    <col min="5" max="5" width="14.421875" style="0" customWidth="1"/>
    <col min="6" max="6" width="23.8515625" style="0" customWidth="1"/>
    <col min="7" max="7" width="17.421875" style="0" customWidth="1"/>
    <col min="8" max="8" width="17.140625" style="0" customWidth="1"/>
  </cols>
  <sheetData>
    <row r="1" spans="1:8" ht="27.75">
      <c r="A1" s="1115" t="s">
        <v>0</v>
      </c>
      <c r="B1" s="1115"/>
      <c r="C1" s="1115"/>
      <c r="D1" s="1115"/>
      <c r="E1" s="1115"/>
      <c r="F1" s="1115"/>
      <c r="G1" s="1115"/>
      <c r="H1" s="1115"/>
    </row>
    <row r="2" spans="1:8" ht="21">
      <c r="A2" s="1116" t="s">
        <v>279</v>
      </c>
      <c r="B2" s="1116"/>
      <c r="C2" s="1116"/>
      <c r="D2" s="1116"/>
      <c r="E2" s="1116"/>
      <c r="F2" s="1116"/>
      <c r="G2" s="1116"/>
      <c r="H2" s="1116"/>
    </row>
    <row r="3" spans="1:8" ht="21">
      <c r="A3" s="1116" t="s">
        <v>383</v>
      </c>
      <c r="B3" s="1116"/>
      <c r="C3" s="1116"/>
      <c r="D3" s="1116"/>
      <c r="E3" s="1116"/>
      <c r="F3" s="1116"/>
      <c r="G3" s="1116"/>
      <c r="H3" s="1116"/>
    </row>
    <row r="4" spans="1:8" ht="18.75">
      <c r="A4" s="34"/>
      <c r="B4" s="414"/>
      <c r="C4" s="258"/>
      <c r="D4" s="415" t="s">
        <v>59</v>
      </c>
      <c r="E4" s="275"/>
      <c r="F4" s="275"/>
      <c r="G4" s="275"/>
      <c r="H4" s="258"/>
    </row>
    <row r="5" spans="1:8" ht="15">
      <c r="A5" s="1099" t="s">
        <v>4</v>
      </c>
      <c r="B5" s="1101" t="s">
        <v>114</v>
      </c>
      <c r="C5" s="735" t="s">
        <v>6</v>
      </c>
      <c r="D5" s="735" t="s">
        <v>7</v>
      </c>
      <c r="E5" s="735" t="s">
        <v>8</v>
      </c>
      <c r="F5" s="735" t="s">
        <v>9</v>
      </c>
      <c r="G5" s="735" t="s">
        <v>10</v>
      </c>
      <c r="H5" s="735" t="s">
        <v>11</v>
      </c>
    </row>
    <row r="6" spans="1:8" ht="15">
      <c r="A6" s="1100"/>
      <c r="B6" s="1102"/>
      <c r="C6" s="736" t="s">
        <v>268</v>
      </c>
      <c r="D6" s="736" t="s">
        <v>12</v>
      </c>
      <c r="E6" s="736" t="s">
        <v>13</v>
      </c>
      <c r="F6" s="737" t="s">
        <v>391</v>
      </c>
      <c r="G6" s="737" t="s">
        <v>391</v>
      </c>
      <c r="H6" s="736" t="s">
        <v>15</v>
      </c>
    </row>
    <row r="7" spans="1:8" ht="15.75">
      <c r="A7" s="310">
        <v>1</v>
      </c>
      <c r="B7" s="478" t="s">
        <v>54</v>
      </c>
      <c r="C7" s="526">
        <v>0</v>
      </c>
      <c r="D7" s="527">
        <v>0</v>
      </c>
      <c r="E7" s="524">
        <v>269</v>
      </c>
      <c r="F7" s="496">
        <v>59830980</v>
      </c>
      <c r="G7" s="496">
        <v>3891214</v>
      </c>
      <c r="H7" s="494">
        <v>0</v>
      </c>
    </row>
    <row r="8" spans="1:8" ht="15.75">
      <c r="A8" s="311">
        <v>2</v>
      </c>
      <c r="B8" s="478" t="s">
        <v>90</v>
      </c>
      <c r="C8" s="526">
        <v>0</v>
      </c>
      <c r="D8" s="527">
        <v>0</v>
      </c>
      <c r="E8" s="496">
        <v>135</v>
      </c>
      <c r="F8" s="496">
        <v>25764750</v>
      </c>
      <c r="G8" s="496">
        <v>9871710</v>
      </c>
      <c r="H8" s="494">
        <v>0</v>
      </c>
    </row>
    <row r="9" spans="1:8" ht="15.75">
      <c r="A9" s="311">
        <v>3</v>
      </c>
      <c r="B9" s="478" t="s">
        <v>108</v>
      </c>
      <c r="C9" s="494">
        <v>0</v>
      </c>
      <c r="D9" s="494">
        <v>0</v>
      </c>
      <c r="E9" s="496">
        <v>0</v>
      </c>
      <c r="F9" s="494">
        <v>0</v>
      </c>
      <c r="G9" s="496">
        <v>18085000</v>
      </c>
      <c r="H9" s="494">
        <v>0</v>
      </c>
    </row>
    <row r="10" spans="1:8" ht="15.75">
      <c r="A10" s="1103" t="s">
        <v>129</v>
      </c>
      <c r="B10" s="1104"/>
      <c r="C10" s="738">
        <f aca="true" t="shared" si="0" ref="C10:H10">SUM(C7:C9)</f>
        <v>0</v>
      </c>
      <c r="D10" s="739">
        <f t="shared" si="0"/>
        <v>0</v>
      </c>
      <c r="E10" s="738">
        <f t="shared" si="0"/>
        <v>404</v>
      </c>
      <c r="F10" s="738">
        <f t="shared" si="0"/>
        <v>85595730</v>
      </c>
      <c r="G10" s="738">
        <f t="shared" si="0"/>
        <v>31847924</v>
      </c>
      <c r="H10" s="738">
        <f t="shared" si="0"/>
        <v>0</v>
      </c>
    </row>
    <row r="11" spans="1:8" ht="21">
      <c r="A11" s="413"/>
      <c r="B11" s="413"/>
      <c r="C11" s="420"/>
      <c r="D11" s="421"/>
      <c r="E11" s="413"/>
      <c r="F11" s="413"/>
      <c r="G11" s="413"/>
      <c r="H11" s="413"/>
    </row>
    <row r="12" spans="1:8" ht="18.75">
      <c r="A12" s="34"/>
      <c r="B12" s="414"/>
      <c r="C12" s="258"/>
      <c r="D12" s="415" t="s">
        <v>259</v>
      </c>
      <c r="E12" s="275"/>
      <c r="F12" s="275"/>
      <c r="G12" s="275"/>
      <c r="H12" s="258"/>
    </row>
    <row r="13" spans="1:8" ht="15">
      <c r="A13" s="1099" t="s">
        <v>4</v>
      </c>
      <c r="B13" s="1101" t="s">
        <v>114</v>
      </c>
      <c r="C13" s="735" t="s">
        <v>6</v>
      </c>
      <c r="D13" s="735" t="s">
        <v>7</v>
      </c>
      <c r="E13" s="735" t="s">
        <v>8</v>
      </c>
      <c r="F13" s="735" t="s">
        <v>9</v>
      </c>
      <c r="G13" s="735" t="s">
        <v>10</v>
      </c>
      <c r="H13" s="735" t="s">
        <v>11</v>
      </c>
    </row>
    <row r="14" spans="1:8" ht="15">
      <c r="A14" s="1100"/>
      <c r="B14" s="1102"/>
      <c r="C14" s="736" t="s">
        <v>268</v>
      </c>
      <c r="D14" s="736" t="s">
        <v>12</v>
      </c>
      <c r="E14" s="736" t="s">
        <v>13</v>
      </c>
      <c r="F14" s="737" t="s">
        <v>391</v>
      </c>
      <c r="G14" s="737" t="s">
        <v>391</v>
      </c>
      <c r="H14" s="736" t="s">
        <v>15</v>
      </c>
    </row>
    <row r="15" spans="1:8" ht="15.75">
      <c r="A15" s="310">
        <v>1</v>
      </c>
      <c r="B15" s="400" t="s">
        <v>32</v>
      </c>
      <c r="C15" s="494">
        <v>0</v>
      </c>
      <c r="D15" s="365">
        <v>0</v>
      </c>
      <c r="E15" s="496">
        <v>0</v>
      </c>
      <c r="F15" s="496">
        <v>0</v>
      </c>
      <c r="G15" s="496">
        <v>2050</v>
      </c>
      <c r="H15" s="494">
        <v>0</v>
      </c>
    </row>
    <row r="16" spans="1:8" ht="15.75">
      <c r="A16" s="310">
        <v>2</v>
      </c>
      <c r="B16" s="400" t="s">
        <v>97</v>
      </c>
      <c r="C16" s="365">
        <v>3</v>
      </c>
      <c r="D16" s="494">
        <v>706.25</v>
      </c>
      <c r="E16" s="365">
        <v>980523</v>
      </c>
      <c r="F16" s="496">
        <v>1961046000</v>
      </c>
      <c r="G16" s="533">
        <v>151929000</v>
      </c>
      <c r="H16" s="494">
        <v>1500</v>
      </c>
    </row>
    <row r="17" spans="1:8" ht="15.75">
      <c r="A17" s="1103" t="s">
        <v>129</v>
      </c>
      <c r="B17" s="1104"/>
      <c r="C17" s="738">
        <f>SUM(C16)</f>
        <v>3</v>
      </c>
      <c r="D17" s="739">
        <f>SUM(D14:D16)</f>
        <v>706.25</v>
      </c>
      <c r="E17" s="738">
        <f>SUM(E14:E16)</f>
        <v>980523</v>
      </c>
      <c r="F17" s="738">
        <f>SUM(F14:F16)</f>
        <v>1961046000</v>
      </c>
      <c r="G17" s="738">
        <f>SUM(G14:G16)</f>
        <v>151931050</v>
      </c>
      <c r="H17" s="738">
        <f>SUM(H14:H16)</f>
        <v>1500</v>
      </c>
    </row>
    <row r="18" spans="1:8" ht="21">
      <c r="A18" s="413"/>
      <c r="B18" s="413"/>
      <c r="C18" s="420"/>
      <c r="D18" s="421"/>
      <c r="E18" s="413"/>
      <c r="F18" s="413"/>
      <c r="G18" s="413"/>
      <c r="H18" s="413"/>
    </row>
    <row r="19" spans="1:8" ht="18.75">
      <c r="A19" s="34"/>
      <c r="B19" s="414"/>
      <c r="C19" s="258"/>
      <c r="D19" s="415" t="s">
        <v>33</v>
      </c>
      <c r="E19" s="275"/>
      <c r="F19" s="275"/>
      <c r="G19" s="275"/>
      <c r="H19" s="258"/>
    </row>
    <row r="20" spans="1:8" ht="15">
      <c r="A20" s="1099" t="s">
        <v>4</v>
      </c>
      <c r="B20" s="1101" t="s">
        <v>114</v>
      </c>
      <c r="C20" s="735" t="s">
        <v>6</v>
      </c>
      <c r="D20" s="735" t="s">
        <v>7</v>
      </c>
      <c r="E20" s="735" t="s">
        <v>8</v>
      </c>
      <c r="F20" s="735" t="s">
        <v>9</v>
      </c>
      <c r="G20" s="735" t="s">
        <v>10</v>
      </c>
      <c r="H20" s="735" t="s">
        <v>11</v>
      </c>
    </row>
    <row r="21" spans="1:8" ht="15">
      <c r="A21" s="1100"/>
      <c r="B21" s="1102"/>
      <c r="C21" s="736" t="s">
        <v>268</v>
      </c>
      <c r="D21" s="736" t="s">
        <v>12</v>
      </c>
      <c r="E21" s="736" t="s">
        <v>13</v>
      </c>
      <c r="F21" s="737" t="s">
        <v>391</v>
      </c>
      <c r="G21" s="737" t="s">
        <v>391</v>
      </c>
      <c r="H21" s="736" t="s">
        <v>15</v>
      </c>
    </row>
    <row r="22" spans="1:8" ht="15.75">
      <c r="A22" s="310">
        <v>1</v>
      </c>
      <c r="B22" s="400" t="s">
        <v>20</v>
      </c>
      <c r="C22" s="494">
        <v>0</v>
      </c>
      <c r="D22" s="524">
        <v>0</v>
      </c>
      <c r="E22" s="528">
        <v>0</v>
      </c>
      <c r="F22" s="496">
        <v>0</v>
      </c>
      <c r="G22" s="496">
        <v>0</v>
      </c>
      <c r="H22" s="494">
        <v>0</v>
      </c>
    </row>
    <row r="23" spans="1:8" ht="15.75">
      <c r="A23" s="310">
        <v>2</v>
      </c>
      <c r="B23" s="400" t="s">
        <v>32</v>
      </c>
      <c r="C23" s="494">
        <v>1</v>
      </c>
      <c r="D23" s="365">
        <v>69.367</v>
      </c>
      <c r="E23" s="496">
        <v>0</v>
      </c>
      <c r="F23" s="496">
        <v>0</v>
      </c>
      <c r="G23" s="496">
        <v>250</v>
      </c>
      <c r="H23" s="494">
        <v>0</v>
      </c>
    </row>
    <row r="24" spans="1:8" ht="15.75">
      <c r="A24" s="310">
        <v>3</v>
      </c>
      <c r="B24" s="400" t="s">
        <v>54</v>
      </c>
      <c r="C24" s="494">
        <v>2</v>
      </c>
      <c r="D24" s="365">
        <v>1989.2844</v>
      </c>
      <c r="E24" s="496">
        <v>429495</v>
      </c>
      <c r="F24" s="496">
        <v>396423885</v>
      </c>
      <c r="G24" s="496">
        <v>43295955</v>
      </c>
      <c r="H24" s="494">
        <v>564</v>
      </c>
    </row>
    <row r="25" spans="1:8" ht="15.75">
      <c r="A25" s="310">
        <v>4</v>
      </c>
      <c r="B25" s="400" t="s">
        <v>73</v>
      </c>
      <c r="C25" s="494">
        <v>2</v>
      </c>
      <c r="D25" s="365">
        <v>29.482</v>
      </c>
      <c r="E25" s="496">
        <v>92</v>
      </c>
      <c r="F25" s="496">
        <v>32200</v>
      </c>
      <c r="G25" s="496">
        <v>1000</v>
      </c>
      <c r="H25" s="494">
        <v>55</v>
      </c>
    </row>
    <row r="26" spans="1:8" ht="15.75">
      <c r="A26" s="310">
        <v>5</v>
      </c>
      <c r="B26" s="400" t="s">
        <v>82</v>
      </c>
      <c r="C26" s="494">
        <v>0</v>
      </c>
      <c r="D26" s="543">
        <v>0</v>
      </c>
      <c r="E26" s="496">
        <v>0</v>
      </c>
      <c r="F26" s="496">
        <v>0</v>
      </c>
      <c r="G26" s="496">
        <v>4000</v>
      </c>
      <c r="H26" s="494">
        <v>0</v>
      </c>
    </row>
    <row r="27" spans="1:8" ht="15.75">
      <c r="A27" s="310">
        <v>6</v>
      </c>
      <c r="B27" s="400" t="s">
        <v>84</v>
      </c>
      <c r="C27" s="365">
        <v>3</v>
      </c>
      <c r="D27" s="529">
        <v>14.44</v>
      </c>
      <c r="E27" s="537">
        <v>25391</v>
      </c>
      <c r="F27" s="496">
        <v>7439563</v>
      </c>
      <c r="G27" s="496">
        <v>704000</v>
      </c>
      <c r="H27" s="494">
        <v>310</v>
      </c>
    </row>
    <row r="28" spans="1:8" ht="15.75">
      <c r="A28" s="310">
        <v>7</v>
      </c>
      <c r="B28" s="400" t="s">
        <v>97</v>
      </c>
      <c r="C28" s="365">
        <v>9</v>
      </c>
      <c r="D28" s="494">
        <v>144.5694</v>
      </c>
      <c r="E28" s="365">
        <v>78138</v>
      </c>
      <c r="F28" s="496">
        <v>27348300</v>
      </c>
      <c r="G28" s="533">
        <v>3177000</v>
      </c>
      <c r="H28" s="494">
        <v>25</v>
      </c>
    </row>
    <row r="29" spans="1:8" ht="15.75">
      <c r="A29" s="1103" t="s">
        <v>129</v>
      </c>
      <c r="B29" s="1104"/>
      <c r="C29" s="738">
        <f aca="true" t="shared" si="1" ref="C29:H29">SUM(C22:C28)</f>
        <v>17</v>
      </c>
      <c r="D29" s="739">
        <f t="shared" si="1"/>
        <v>2247.1428</v>
      </c>
      <c r="E29" s="738">
        <f t="shared" si="1"/>
        <v>533116</v>
      </c>
      <c r="F29" s="738">
        <f t="shared" si="1"/>
        <v>431243948</v>
      </c>
      <c r="G29" s="738">
        <f t="shared" si="1"/>
        <v>47182205</v>
      </c>
      <c r="H29" s="738">
        <f t="shared" si="1"/>
        <v>954</v>
      </c>
    </row>
    <row r="30" spans="1:8" ht="15">
      <c r="A30" s="422"/>
      <c r="B30" s="423"/>
      <c r="C30" s="424"/>
      <c r="D30" s="425"/>
      <c r="E30" s="426"/>
      <c r="F30" s="426"/>
      <c r="G30" s="426"/>
      <c r="H30" s="424"/>
    </row>
    <row r="31" spans="1:8" ht="18.75">
      <c r="A31" s="34"/>
      <c r="B31" s="414"/>
      <c r="C31" s="258"/>
      <c r="D31" s="415" t="s">
        <v>55</v>
      </c>
      <c r="E31" s="275"/>
      <c r="F31" s="275"/>
      <c r="G31" s="275"/>
      <c r="H31" s="258"/>
    </row>
    <row r="32" spans="1:8" ht="15">
      <c r="A32" s="1099" t="s">
        <v>4</v>
      </c>
      <c r="B32" s="1101" t="s">
        <v>114</v>
      </c>
      <c r="C32" s="735" t="s">
        <v>6</v>
      </c>
      <c r="D32" s="735" t="s">
        <v>7</v>
      </c>
      <c r="E32" s="735" t="s">
        <v>8</v>
      </c>
      <c r="F32" s="735" t="s">
        <v>9</v>
      </c>
      <c r="G32" s="735" t="s">
        <v>10</v>
      </c>
      <c r="H32" s="735" t="s">
        <v>11</v>
      </c>
    </row>
    <row r="33" spans="1:8" ht="15">
      <c r="A33" s="1100"/>
      <c r="B33" s="1102"/>
      <c r="C33" s="736" t="s">
        <v>268</v>
      </c>
      <c r="D33" s="736" t="s">
        <v>12</v>
      </c>
      <c r="E33" s="736" t="s">
        <v>13</v>
      </c>
      <c r="F33" s="737" t="s">
        <v>391</v>
      </c>
      <c r="G33" s="737" t="s">
        <v>391</v>
      </c>
      <c r="H33" s="736" t="s">
        <v>15</v>
      </c>
    </row>
    <row r="34" spans="1:8" ht="15.75">
      <c r="A34" s="310">
        <v>1</v>
      </c>
      <c r="B34" s="400" t="s">
        <v>54</v>
      </c>
      <c r="C34" s="486">
        <v>1</v>
      </c>
      <c r="D34" s="365">
        <v>1200</v>
      </c>
      <c r="E34" s="494">
        <v>6149424</v>
      </c>
      <c r="F34" s="496">
        <v>13528732800</v>
      </c>
      <c r="G34" s="540">
        <v>6935831262</v>
      </c>
      <c r="H34" s="486">
        <v>2962</v>
      </c>
    </row>
    <row r="35" spans="1:8" ht="15.75">
      <c r="A35" s="310">
        <v>2</v>
      </c>
      <c r="B35" s="400" t="s">
        <v>90</v>
      </c>
      <c r="C35" s="530">
        <v>2</v>
      </c>
      <c r="D35" s="538">
        <v>1342.425</v>
      </c>
      <c r="E35" s="530">
        <v>2139504</v>
      </c>
      <c r="F35" s="530">
        <v>4279008000</v>
      </c>
      <c r="G35" s="530">
        <v>1294446600</v>
      </c>
      <c r="H35" s="494">
        <v>1378</v>
      </c>
    </row>
    <row r="36" spans="1:8" ht="15.75">
      <c r="A36" s="310">
        <v>3</v>
      </c>
      <c r="B36" s="400" t="s">
        <v>108</v>
      </c>
      <c r="C36" s="494">
        <v>1</v>
      </c>
      <c r="D36" s="494">
        <v>3620</v>
      </c>
      <c r="E36" s="496">
        <v>304180</v>
      </c>
      <c r="F36" s="496">
        <v>608360000</v>
      </c>
      <c r="G36" s="496">
        <v>123385000</v>
      </c>
      <c r="H36" s="494">
        <v>1500</v>
      </c>
    </row>
    <row r="37" spans="1:8" ht="15.75">
      <c r="A37" s="310">
        <v>4</v>
      </c>
      <c r="B37" s="400" t="s">
        <v>102</v>
      </c>
      <c r="C37" s="494">
        <v>2</v>
      </c>
      <c r="D37" s="494">
        <v>115</v>
      </c>
      <c r="E37" s="496">
        <v>0</v>
      </c>
      <c r="F37" s="496">
        <v>0</v>
      </c>
      <c r="G37" s="496">
        <v>338000</v>
      </c>
      <c r="H37" s="494">
        <v>0</v>
      </c>
    </row>
    <row r="38" spans="1:8" ht="15.75">
      <c r="A38" s="310">
        <v>5</v>
      </c>
      <c r="B38" s="400" t="s">
        <v>20</v>
      </c>
      <c r="C38" s="494">
        <v>1</v>
      </c>
      <c r="D38" s="524">
        <v>480.5</v>
      </c>
      <c r="E38" s="528">
        <v>39071</v>
      </c>
      <c r="F38" s="496">
        <v>0</v>
      </c>
      <c r="G38" s="496">
        <v>26019000</v>
      </c>
      <c r="H38" s="494">
        <v>112</v>
      </c>
    </row>
    <row r="39" spans="1:8" ht="15.75">
      <c r="A39" s="1103" t="s">
        <v>129</v>
      </c>
      <c r="B39" s="1104"/>
      <c r="C39" s="738">
        <f aca="true" t="shared" si="2" ref="C39:H39">SUM(C34:C38)</f>
        <v>7</v>
      </c>
      <c r="D39" s="739">
        <f t="shared" si="2"/>
        <v>6757.925</v>
      </c>
      <c r="E39" s="738">
        <f t="shared" si="2"/>
        <v>8632179</v>
      </c>
      <c r="F39" s="740">
        <f>SUM(F34:F38)</f>
        <v>18416100800</v>
      </c>
      <c r="G39" s="738">
        <f t="shared" si="2"/>
        <v>8380019862</v>
      </c>
      <c r="H39" s="738">
        <f t="shared" si="2"/>
        <v>5952</v>
      </c>
    </row>
    <row r="40" spans="1:8" ht="15">
      <c r="A40" s="422"/>
      <c r="B40" s="423"/>
      <c r="C40" s="424"/>
      <c r="D40" s="425"/>
      <c r="E40" s="426"/>
      <c r="F40" s="426"/>
      <c r="G40" s="426"/>
      <c r="H40" s="424"/>
    </row>
    <row r="41" spans="1:8" ht="18.75">
      <c r="A41" s="34"/>
      <c r="B41" s="414"/>
      <c r="C41" s="258"/>
      <c r="D41" s="415" t="s">
        <v>91</v>
      </c>
      <c r="E41" s="275"/>
      <c r="F41" s="275"/>
      <c r="G41" s="275"/>
      <c r="H41" s="258"/>
    </row>
    <row r="42" spans="1:8" ht="15">
      <c r="A42" s="1099" t="s">
        <v>4</v>
      </c>
      <c r="B42" s="1101" t="s">
        <v>114</v>
      </c>
      <c r="C42" s="735" t="s">
        <v>6</v>
      </c>
      <c r="D42" s="735" t="s">
        <v>7</v>
      </c>
      <c r="E42" s="735" t="s">
        <v>8</v>
      </c>
      <c r="F42" s="735" t="s">
        <v>9</v>
      </c>
      <c r="G42" s="735" t="s">
        <v>10</v>
      </c>
      <c r="H42" s="735" t="s">
        <v>11</v>
      </c>
    </row>
    <row r="43" spans="1:8" ht="15">
      <c r="A43" s="1100"/>
      <c r="B43" s="1102"/>
      <c r="C43" s="736" t="s">
        <v>268</v>
      </c>
      <c r="D43" s="736" t="s">
        <v>12</v>
      </c>
      <c r="E43" s="736" t="s">
        <v>13</v>
      </c>
      <c r="F43" s="737" t="s">
        <v>391</v>
      </c>
      <c r="G43" s="737" t="s">
        <v>391</v>
      </c>
      <c r="H43" s="736" t="s">
        <v>15</v>
      </c>
    </row>
    <row r="44" spans="1:8" ht="15.75">
      <c r="A44" s="311">
        <v>1</v>
      </c>
      <c r="B44" s="400" t="s">
        <v>54</v>
      </c>
      <c r="C44" s="485">
        <v>0</v>
      </c>
      <c r="D44" s="479">
        <v>0</v>
      </c>
      <c r="E44" s="544">
        <v>110170</v>
      </c>
      <c r="F44" s="477">
        <v>0</v>
      </c>
      <c r="G44" s="487">
        <v>0</v>
      </c>
      <c r="H44" s="485">
        <v>0</v>
      </c>
    </row>
    <row r="45" spans="1:8" ht="15.75">
      <c r="A45" s="311">
        <v>2</v>
      </c>
      <c r="B45" s="400" t="s">
        <v>90</v>
      </c>
      <c r="C45" s="481">
        <v>0</v>
      </c>
      <c r="D45" s="479">
        <v>0</v>
      </c>
      <c r="E45" s="491">
        <v>57200</v>
      </c>
      <c r="F45" s="481">
        <v>0</v>
      </c>
      <c r="G45" s="481">
        <v>0</v>
      </c>
      <c r="H45" s="475">
        <v>0</v>
      </c>
    </row>
    <row r="46" spans="1:8" ht="15.75">
      <c r="A46" s="311">
        <v>3</v>
      </c>
      <c r="B46" s="400" t="s">
        <v>108</v>
      </c>
      <c r="C46" s="475">
        <v>0</v>
      </c>
      <c r="D46" s="476">
        <v>0</v>
      </c>
      <c r="E46" s="490">
        <v>2160</v>
      </c>
      <c r="F46" s="477">
        <v>0</v>
      </c>
      <c r="G46" s="477">
        <v>0</v>
      </c>
      <c r="H46" s="475">
        <v>0</v>
      </c>
    </row>
    <row r="47" spans="1:8" ht="15.75">
      <c r="A47" s="1103" t="s">
        <v>129</v>
      </c>
      <c r="B47" s="1104"/>
      <c r="C47" s="738"/>
      <c r="D47" s="739">
        <f>SUM(D44:D46)</f>
        <v>0</v>
      </c>
      <c r="E47" s="738">
        <f>SUM(E44:E46)</f>
        <v>169530</v>
      </c>
      <c r="F47" s="738">
        <f>SUM(F44:F46)</f>
        <v>0</v>
      </c>
      <c r="G47" s="738">
        <f>SUM(G44:G46)</f>
        <v>0</v>
      </c>
      <c r="H47" s="738">
        <f>SUM(H44:H46)</f>
        <v>0</v>
      </c>
    </row>
    <row r="48" spans="1:8" ht="15.75">
      <c r="A48" s="49"/>
      <c r="B48" s="428"/>
      <c r="C48" s="258"/>
      <c r="D48" s="429"/>
      <c r="E48" s="430"/>
      <c r="F48" s="430"/>
      <c r="G48" s="430"/>
      <c r="H48" s="430"/>
    </row>
    <row r="49" spans="1:8" ht="18.75">
      <c r="A49" s="34"/>
      <c r="B49" s="414"/>
      <c r="C49" s="258"/>
      <c r="D49" s="415" t="s">
        <v>57</v>
      </c>
      <c r="E49" s="275"/>
      <c r="F49" s="275"/>
      <c r="G49" s="275"/>
      <c r="H49" s="258"/>
    </row>
    <row r="50" spans="1:8" ht="15">
      <c r="A50" s="1099" t="s">
        <v>4</v>
      </c>
      <c r="B50" s="1101" t="s">
        <v>114</v>
      </c>
      <c r="C50" s="735" t="s">
        <v>6</v>
      </c>
      <c r="D50" s="735" t="s">
        <v>7</v>
      </c>
      <c r="E50" s="735" t="s">
        <v>8</v>
      </c>
      <c r="F50" s="735" t="s">
        <v>9</v>
      </c>
      <c r="G50" s="735" t="s">
        <v>10</v>
      </c>
      <c r="H50" s="735" t="s">
        <v>11</v>
      </c>
    </row>
    <row r="51" spans="1:8" ht="15">
      <c r="A51" s="1100"/>
      <c r="B51" s="1102"/>
      <c r="C51" s="736" t="s">
        <v>268</v>
      </c>
      <c r="D51" s="736" t="s">
        <v>12</v>
      </c>
      <c r="E51" s="736" t="s">
        <v>13</v>
      </c>
      <c r="F51" s="737" t="s">
        <v>391</v>
      </c>
      <c r="G51" s="737" t="s">
        <v>391</v>
      </c>
      <c r="H51" s="736" t="s">
        <v>15</v>
      </c>
    </row>
    <row r="52" spans="1:8" ht="15.75">
      <c r="A52" s="310">
        <v>1</v>
      </c>
      <c r="B52" s="400" t="s">
        <v>54</v>
      </c>
      <c r="C52" s="485">
        <v>0</v>
      </c>
      <c r="D52" s="479">
        <v>0</v>
      </c>
      <c r="E52" s="496">
        <v>1331922</v>
      </c>
      <c r="F52" s="477">
        <v>0</v>
      </c>
      <c r="G52" s="487">
        <v>0</v>
      </c>
      <c r="H52" s="485">
        <v>0</v>
      </c>
    </row>
    <row r="53" spans="1:8" ht="15.75">
      <c r="A53" s="310">
        <v>2</v>
      </c>
      <c r="B53" s="400" t="s">
        <v>90</v>
      </c>
      <c r="C53" s="481">
        <v>0</v>
      </c>
      <c r="D53" s="479">
        <v>0</v>
      </c>
      <c r="E53" s="477">
        <v>130500</v>
      </c>
      <c r="F53" s="481">
        <v>0</v>
      </c>
      <c r="G53" s="481">
        <v>0</v>
      </c>
      <c r="H53" s="475">
        <v>0</v>
      </c>
    </row>
    <row r="54" spans="1:8" ht="15.75">
      <c r="A54" s="311">
        <v>3</v>
      </c>
      <c r="B54" s="400" t="s">
        <v>108</v>
      </c>
      <c r="C54" s="475">
        <v>0</v>
      </c>
      <c r="D54" s="476">
        <v>0</v>
      </c>
      <c r="E54" s="490">
        <v>16500</v>
      </c>
      <c r="F54" s="475">
        <v>0</v>
      </c>
      <c r="G54" s="477">
        <v>0</v>
      </c>
      <c r="H54" s="475">
        <v>0</v>
      </c>
    </row>
    <row r="55" spans="1:8" ht="15.75">
      <c r="A55" s="1103" t="s">
        <v>129</v>
      </c>
      <c r="B55" s="1104"/>
      <c r="C55" s="738"/>
      <c r="D55" s="739">
        <f>SUM(D52:D54)</f>
        <v>0</v>
      </c>
      <c r="E55" s="738">
        <f>SUM(E52:E54)</f>
        <v>1478922</v>
      </c>
      <c r="F55" s="738">
        <f>SUM(F52:F54)</f>
        <v>0</v>
      </c>
      <c r="G55" s="738">
        <f>SUM(G52:G54)</f>
        <v>0</v>
      </c>
      <c r="H55" s="738">
        <f>SUM(H52:H54)</f>
        <v>0</v>
      </c>
    </row>
    <row r="56" spans="1:8" ht="21">
      <c r="A56" s="413"/>
      <c r="B56" s="413"/>
      <c r="C56" s="258"/>
      <c r="D56" s="415" t="s">
        <v>38</v>
      </c>
      <c r="E56" s="275"/>
      <c r="F56" s="275"/>
      <c r="G56" s="275"/>
      <c r="H56" s="258"/>
    </row>
    <row r="57" spans="1:8" ht="15">
      <c r="A57" s="1099" t="s">
        <v>4</v>
      </c>
      <c r="B57" s="1101" t="s">
        <v>114</v>
      </c>
      <c r="C57" s="735" t="s">
        <v>6</v>
      </c>
      <c r="D57" s="735" t="s">
        <v>7</v>
      </c>
      <c r="E57" s="735" t="s">
        <v>8</v>
      </c>
      <c r="F57" s="735" t="s">
        <v>9</v>
      </c>
      <c r="G57" s="735" t="s">
        <v>10</v>
      </c>
      <c r="H57" s="735" t="s">
        <v>11</v>
      </c>
    </row>
    <row r="58" spans="1:8" ht="15">
      <c r="A58" s="1100"/>
      <c r="B58" s="1102"/>
      <c r="C58" s="736" t="s">
        <v>268</v>
      </c>
      <c r="D58" s="736" t="s">
        <v>12</v>
      </c>
      <c r="E58" s="736" t="s">
        <v>13</v>
      </c>
      <c r="F58" s="737" t="s">
        <v>391</v>
      </c>
      <c r="G58" s="737" t="s">
        <v>391</v>
      </c>
      <c r="H58" s="736" t="s">
        <v>15</v>
      </c>
    </row>
    <row r="59" spans="1:8" ht="15.75">
      <c r="A59" s="310">
        <v>1</v>
      </c>
      <c r="B59" s="478" t="s">
        <v>37</v>
      </c>
      <c r="C59" s="494">
        <v>1</v>
      </c>
      <c r="D59" s="365">
        <v>18.898</v>
      </c>
      <c r="E59" s="496">
        <v>4987</v>
      </c>
      <c r="F59" s="496">
        <v>12467500</v>
      </c>
      <c r="G59" s="496">
        <v>838000</v>
      </c>
      <c r="H59" s="494">
        <v>70</v>
      </c>
    </row>
    <row r="60" spans="1:8" ht="15.75">
      <c r="A60" s="1103" t="s">
        <v>129</v>
      </c>
      <c r="B60" s="1104"/>
      <c r="C60" s="738">
        <f aca="true" t="shared" si="3" ref="C60:H60">SUM(C59)</f>
        <v>1</v>
      </c>
      <c r="D60" s="739">
        <f t="shared" si="3"/>
        <v>18.898</v>
      </c>
      <c r="E60" s="738">
        <f t="shared" si="3"/>
        <v>4987</v>
      </c>
      <c r="F60" s="738">
        <f t="shared" si="3"/>
        <v>12467500</v>
      </c>
      <c r="G60" s="738">
        <f t="shared" si="3"/>
        <v>838000</v>
      </c>
      <c r="H60" s="738">
        <f t="shared" si="3"/>
        <v>70</v>
      </c>
    </row>
    <row r="61" spans="1:8" ht="21">
      <c r="A61" s="422"/>
      <c r="B61" s="413"/>
      <c r="C61" s="424"/>
      <c r="D61" s="425"/>
      <c r="E61" s="426"/>
      <c r="F61" s="426"/>
      <c r="G61" s="426"/>
      <c r="H61" s="424"/>
    </row>
    <row r="62" spans="1:8" ht="21">
      <c r="A62" s="34"/>
      <c r="B62" s="413"/>
      <c r="C62" s="258"/>
      <c r="D62" s="415" t="s">
        <v>263</v>
      </c>
      <c r="E62" s="275"/>
      <c r="F62" s="275"/>
      <c r="G62" s="275"/>
      <c r="H62" s="258"/>
    </row>
    <row r="63" spans="1:8" ht="15">
      <c r="A63" s="1099" t="s">
        <v>4</v>
      </c>
      <c r="B63" s="1101" t="s">
        <v>114</v>
      </c>
      <c r="C63" s="735" t="s">
        <v>6</v>
      </c>
      <c r="D63" s="735" t="s">
        <v>7</v>
      </c>
      <c r="E63" s="735" t="s">
        <v>8</v>
      </c>
      <c r="F63" s="735" t="s">
        <v>9</v>
      </c>
      <c r="G63" s="735" t="s">
        <v>10</v>
      </c>
      <c r="H63" s="735" t="s">
        <v>11</v>
      </c>
    </row>
    <row r="64" spans="1:8" ht="15">
      <c r="A64" s="1100"/>
      <c r="B64" s="1102"/>
      <c r="C64" s="736" t="s">
        <v>268</v>
      </c>
      <c r="D64" s="736" t="s">
        <v>12</v>
      </c>
      <c r="E64" s="736" t="s">
        <v>13</v>
      </c>
      <c r="F64" s="737" t="s">
        <v>391</v>
      </c>
      <c r="G64" s="737" t="s">
        <v>391</v>
      </c>
      <c r="H64" s="736" t="s">
        <v>15</v>
      </c>
    </row>
    <row r="65" spans="1:8" ht="15.75">
      <c r="A65" s="310">
        <v>1</v>
      </c>
      <c r="B65" s="400" t="s">
        <v>54</v>
      </c>
      <c r="C65" s="526">
        <v>0</v>
      </c>
      <c r="D65" s="527">
        <v>0</v>
      </c>
      <c r="E65" s="496">
        <v>123</v>
      </c>
      <c r="F65" s="496">
        <v>6678634725</v>
      </c>
      <c r="G65" s="496">
        <v>367736258</v>
      </c>
      <c r="H65" s="494">
        <v>0</v>
      </c>
    </row>
    <row r="66" spans="1:8" ht="15.75">
      <c r="A66" s="310">
        <v>2</v>
      </c>
      <c r="B66" s="400" t="s">
        <v>90</v>
      </c>
      <c r="C66" s="494">
        <v>0</v>
      </c>
      <c r="D66" s="494">
        <v>0</v>
      </c>
      <c r="E66" s="496">
        <v>160</v>
      </c>
      <c r="F66" s="496">
        <v>8667646660</v>
      </c>
      <c r="G66" s="496">
        <v>642829690</v>
      </c>
      <c r="H66" s="494">
        <v>0</v>
      </c>
    </row>
    <row r="67" spans="1:8" ht="15.75">
      <c r="A67" s="310">
        <v>3</v>
      </c>
      <c r="B67" s="400" t="s">
        <v>108</v>
      </c>
      <c r="C67" s="494">
        <v>0</v>
      </c>
      <c r="D67" s="494">
        <v>0</v>
      </c>
      <c r="E67" s="496">
        <v>2</v>
      </c>
      <c r="F67" s="496">
        <v>108514800</v>
      </c>
      <c r="G67" s="496">
        <v>6656000</v>
      </c>
      <c r="H67" s="494">
        <v>0</v>
      </c>
    </row>
    <row r="68" spans="1:8" ht="15.75">
      <c r="A68" s="1103" t="s">
        <v>129</v>
      </c>
      <c r="B68" s="1104"/>
      <c r="C68" s="738">
        <f aca="true" t="shared" si="4" ref="C68:H68">SUM(C65:C67)</f>
        <v>0</v>
      </c>
      <c r="D68" s="739">
        <f t="shared" si="4"/>
        <v>0</v>
      </c>
      <c r="E68" s="738">
        <f t="shared" si="4"/>
        <v>285</v>
      </c>
      <c r="F68" s="738">
        <f t="shared" si="4"/>
        <v>15454796185</v>
      </c>
      <c r="G68" s="738">
        <f t="shared" si="4"/>
        <v>1017221948</v>
      </c>
      <c r="H68" s="738">
        <f t="shared" si="4"/>
        <v>0</v>
      </c>
    </row>
    <row r="69" spans="1:8" ht="15">
      <c r="A69" s="422"/>
      <c r="B69" s="423"/>
      <c r="C69" s="424"/>
      <c r="D69" s="425"/>
      <c r="E69" s="426"/>
      <c r="F69" s="426"/>
      <c r="G69" s="426"/>
      <c r="H69" s="424"/>
    </row>
    <row r="70" spans="1:8" ht="18.75">
      <c r="A70" s="92"/>
      <c r="B70" s="431"/>
      <c r="C70" s="6"/>
      <c r="D70" s="415" t="s">
        <v>16</v>
      </c>
      <c r="E70" s="93"/>
      <c r="F70" s="5"/>
      <c r="G70" s="5"/>
      <c r="H70" s="94"/>
    </row>
    <row r="71" spans="1:8" ht="15">
      <c r="A71" s="1099" t="s">
        <v>4</v>
      </c>
      <c r="B71" s="1101" t="s">
        <v>114</v>
      </c>
      <c r="C71" s="735" t="s">
        <v>6</v>
      </c>
      <c r="D71" s="735" t="s">
        <v>7</v>
      </c>
      <c r="E71" s="735" t="s">
        <v>8</v>
      </c>
      <c r="F71" s="735" t="s">
        <v>9</v>
      </c>
      <c r="G71" s="735" t="s">
        <v>10</v>
      </c>
      <c r="H71" s="735" t="s">
        <v>11</v>
      </c>
    </row>
    <row r="72" spans="1:8" ht="15">
      <c r="A72" s="1100"/>
      <c r="B72" s="1102"/>
      <c r="C72" s="736" t="s">
        <v>268</v>
      </c>
      <c r="D72" s="736" t="s">
        <v>12</v>
      </c>
      <c r="E72" s="736" t="s">
        <v>13</v>
      </c>
      <c r="F72" s="737" t="s">
        <v>391</v>
      </c>
      <c r="G72" s="737" t="s">
        <v>391</v>
      </c>
      <c r="H72" s="736" t="s">
        <v>15</v>
      </c>
    </row>
    <row r="73" spans="1:8" ht="15">
      <c r="A73" s="310">
        <v>1</v>
      </c>
      <c r="B73" s="417" t="s">
        <v>104</v>
      </c>
      <c r="C73" s="58">
        <v>0</v>
      </c>
      <c r="D73" s="88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ht="15.75">
      <c r="A74" s="1103" t="s">
        <v>129</v>
      </c>
      <c r="B74" s="1104"/>
      <c r="C74" s="738">
        <f aca="true" t="shared" si="5" ref="C74:H74">SUM(C73:C73)</f>
        <v>0</v>
      </c>
      <c r="D74" s="739">
        <f t="shared" si="5"/>
        <v>0</v>
      </c>
      <c r="E74" s="738">
        <f t="shared" si="5"/>
        <v>0</v>
      </c>
      <c r="F74" s="738">
        <f t="shared" si="5"/>
        <v>0</v>
      </c>
      <c r="G74" s="738">
        <f t="shared" si="5"/>
        <v>0</v>
      </c>
      <c r="H74" s="738">
        <f t="shared" si="5"/>
        <v>0</v>
      </c>
    </row>
    <row r="75" spans="1:8" ht="15">
      <c r="A75" s="422"/>
      <c r="B75" s="423"/>
      <c r="C75" s="424"/>
      <c r="D75" s="425"/>
      <c r="E75" s="426"/>
      <c r="F75" s="426"/>
      <c r="G75" s="426"/>
      <c r="H75" s="424"/>
    </row>
    <row r="76" spans="1:8" ht="18.75">
      <c r="A76" s="34"/>
      <c r="B76" s="414"/>
      <c r="C76" s="258"/>
      <c r="D76" s="415" t="s">
        <v>66</v>
      </c>
      <c r="E76" s="275"/>
      <c r="F76" s="275"/>
      <c r="G76" s="275"/>
      <c r="H76" s="258"/>
    </row>
    <row r="77" spans="1:8" ht="15">
      <c r="A77" s="1099" t="s">
        <v>4</v>
      </c>
      <c r="B77" s="1101" t="s">
        <v>114</v>
      </c>
      <c r="C77" s="735" t="s">
        <v>6</v>
      </c>
      <c r="D77" s="735" t="s">
        <v>7</v>
      </c>
      <c r="E77" s="735" t="s">
        <v>8</v>
      </c>
      <c r="F77" s="735" t="s">
        <v>9</v>
      </c>
      <c r="G77" s="735" t="s">
        <v>10</v>
      </c>
      <c r="H77" s="735" t="s">
        <v>11</v>
      </c>
    </row>
    <row r="78" spans="1:8" ht="15">
      <c r="A78" s="1100"/>
      <c r="B78" s="1102"/>
      <c r="C78" s="736" t="s">
        <v>268</v>
      </c>
      <c r="D78" s="736" t="s">
        <v>12</v>
      </c>
      <c r="E78" s="736" t="s">
        <v>13</v>
      </c>
      <c r="F78" s="737" t="s">
        <v>391</v>
      </c>
      <c r="G78" s="737" t="s">
        <v>391</v>
      </c>
      <c r="H78" s="736" t="s">
        <v>15</v>
      </c>
    </row>
    <row r="79" spans="1:8" ht="15.75">
      <c r="A79" s="310">
        <v>1</v>
      </c>
      <c r="B79" s="474" t="s">
        <v>42</v>
      </c>
      <c r="C79" s="494">
        <v>0</v>
      </c>
      <c r="D79" s="524">
        <v>0</v>
      </c>
      <c r="E79" s="496">
        <v>0</v>
      </c>
      <c r="F79" s="496">
        <v>0</v>
      </c>
      <c r="G79" s="496">
        <v>0</v>
      </c>
      <c r="H79" s="496">
        <v>0</v>
      </c>
    </row>
    <row r="80" spans="1:8" ht="15.75">
      <c r="A80" s="310">
        <v>2</v>
      </c>
      <c r="B80" s="478" t="s">
        <v>65</v>
      </c>
      <c r="C80" s="494">
        <v>91</v>
      </c>
      <c r="D80" s="524">
        <v>5303.75</v>
      </c>
      <c r="E80" s="496">
        <v>2474187</v>
      </c>
      <c r="F80" s="496">
        <v>1360802850</v>
      </c>
      <c r="G80" s="496">
        <v>85222825</v>
      </c>
      <c r="H80" s="494">
        <v>650</v>
      </c>
    </row>
    <row r="81" spans="1:8" ht="15.75">
      <c r="A81" s="310">
        <v>3</v>
      </c>
      <c r="B81" s="478" t="s">
        <v>75</v>
      </c>
      <c r="C81" s="494">
        <v>0</v>
      </c>
      <c r="D81" s="524">
        <v>0</v>
      </c>
      <c r="E81" s="496">
        <v>0</v>
      </c>
      <c r="F81" s="496">
        <v>0</v>
      </c>
      <c r="G81" s="496">
        <v>0</v>
      </c>
      <c r="H81" s="494">
        <v>0</v>
      </c>
    </row>
    <row r="82" spans="1:8" ht="15.75">
      <c r="A82" s="1103" t="s">
        <v>129</v>
      </c>
      <c r="B82" s="1104"/>
      <c r="C82" s="738">
        <f aca="true" t="shared" si="6" ref="C82:H82">SUM(C79:C81)</f>
        <v>91</v>
      </c>
      <c r="D82" s="739">
        <f t="shared" si="6"/>
        <v>5303.75</v>
      </c>
      <c r="E82" s="738">
        <f t="shared" si="6"/>
        <v>2474187</v>
      </c>
      <c r="F82" s="738">
        <f t="shared" si="6"/>
        <v>1360802850</v>
      </c>
      <c r="G82" s="738">
        <f t="shared" si="6"/>
        <v>85222825</v>
      </c>
      <c r="H82" s="738">
        <f t="shared" si="6"/>
        <v>650</v>
      </c>
    </row>
    <row r="83" spans="1:8" ht="15">
      <c r="A83" s="422"/>
      <c r="B83" s="423"/>
      <c r="C83" s="424"/>
      <c r="D83" s="425"/>
      <c r="E83" s="426"/>
      <c r="F83" s="426"/>
      <c r="G83" s="426"/>
      <c r="H83" s="424"/>
    </row>
    <row r="84" spans="1:8" ht="18.75">
      <c r="A84" s="34"/>
      <c r="B84" s="414"/>
      <c r="C84" s="258"/>
      <c r="D84" s="415" t="s">
        <v>34</v>
      </c>
      <c r="E84" s="275"/>
      <c r="F84" s="275"/>
      <c r="G84" s="275"/>
      <c r="H84" s="258"/>
    </row>
    <row r="85" spans="1:8" ht="15">
      <c r="A85" s="1099" t="s">
        <v>4</v>
      </c>
      <c r="B85" s="1101" t="s">
        <v>114</v>
      </c>
      <c r="C85" s="735" t="s">
        <v>6</v>
      </c>
      <c r="D85" s="735" t="s">
        <v>7</v>
      </c>
      <c r="E85" s="735" t="s">
        <v>8</v>
      </c>
      <c r="F85" s="735" t="s">
        <v>9</v>
      </c>
      <c r="G85" s="735" t="s">
        <v>10</v>
      </c>
      <c r="H85" s="735" t="s">
        <v>11</v>
      </c>
    </row>
    <row r="86" spans="1:8" ht="15">
      <c r="A86" s="1100"/>
      <c r="B86" s="1102"/>
      <c r="C86" s="736" t="s">
        <v>268</v>
      </c>
      <c r="D86" s="736" t="s">
        <v>12</v>
      </c>
      <c r="E86" s="736" t="s">
        <v>13</v>
      </c>
      <c r="F86" s="737" t="s">
        <v>391</v>
      </c>
      <c r="G86" s="737" t="s">
        <v>391</v>
      </c>
      <c r="H86" s="736" t="s">
        <v>15</v>
      </c>
    </row>
    <row r="87" spans="1:8" ht="15.75">
      <c r="A87" s="310">
        <v>1</v>
      </c>
      <c r="B87" s="478" t="s">
        <v>32</v>
      </c>
      <c r="C87" s="494">
        <v>1</v>
      </c>
      <c r="D87" s="365">
        <v>3.589</v>
      </c>
      <c r="E87" s="496"/>
      <c r="F87" s="496"/>
      <c r="G87" s="496"/>
      <c r="H87" s="494"/>
    </row>
    <row r="88" spans="1:8" ht="15.75">
      <c r="A88" s="310">
        <v>2</v>
      </c>
      <c r="B88" s="478" t="s">
        <v>108</v>
      </c>
      <c r="C88" s="494">
        <v>1</v>
      </c>
      <c r="D88" s="494">
        <v>31</v>
      </c>
      <c r="E88" s="496">
        <v>6735</v>
      </c>
      <c r="F88" s="494">
        <v>3704250</v>
      </c>
      <c r="G88" s="525">
        <v>229000</v>
      </c>
      <c r="H88" s="494">
        <v>22</v>
      </c>
    </row>
    <row r="89" spans="1:8" ht="15">
      <c r="A89" s="311"/>
      <c r="B89" s="417"/>
      <c r="C89" s="366"/>
      <c r="D89" s="374"/>
      <c r="E89" s="375"/>
      <c r="F89" s="375"/>
      <c r="G89" s="375"/>
      <c r="H89" s="366"/>
    </row>
    <row r="90" spans="1:8" ht="15.75">
      <c r="A90" s="1103" t="s">
        <v>129</v>
      </c>
      <c r="B90" s="1104"/>
      <c r="C90" s="738">
        <f aca="true" t="shared" si="7" ref="C90:H90">SUM(C87:C89)</f>
        <v>2</v>
      </c>
      <c r="D90" s="739">
        <f t="shared" si="7"/>
        <v>34.589</v>
      </c>
      <c r="E90" s="738">
        <f t="shared" si="7"/>
        <v>6735</v>
      </c>
      <c r="F90" s="738">
        <f t="shared" si="7"/>
        <v>3704250</v>
      </c>
      <c r="G90" s="738">
        <f t="shared" si="7"/>
        <v>229000</v>
      </c>
      <c r="H90" s="738">
        <f t="shared" si="7"/>
        <v>22</v>
      </c>
    </row>
    <row r="91" spans="1:8" ht="15">
      <c r="A91" s="422"/>
      <c r="B91" s="423"/>
      <c r="C91" s="424"/>
      <c r="D91" s="425"/>
      <c r="E91" s="426"/>
      <c r="F91" s="426"/>
      <c r="G91" s="426"/>
      <c r="H91" s="424"/>
    </row>
    <row r="92" spans="1:8" ht="18.75">
      <c r="A92" s="34"/>
      <c r="B92" s="414"/>
      <c r="C92" s="258"/>
      <c r="D92" s="415" t="s">
        <v>31</v>
      </c>
      <c r="E92" s="275"/>
      <c r="F92" s="275"/>
      <c r="G92" s="275"/>
      <c r="H92" s="258"/>
    </row>
    <row r="93" spans="1:8" ht="15">
      <c r="A93" s="1099" t="s">
        <v>4</v>
      </c>
      <c r="B93" s="1101" t="s">
        <v>114</v>
      </c>
      <c r="C93" s="735" t="s">
        <v>6</v>
      </c>
      <c r="D93" s="735" t="s">
        <v>7</v>
      </c>
      <c r="E93" s="735" t="s">
        <v>8</v>
      </c>
      <c r="F93" s="735" t="s">
        <v>9</v>
      </c>
      <c r="G93" s="735" t="s">
        <v>10</v>
      </c>
      <c r="H93" s="735" t="s">
        <v>11</v>
      </c>
    </row>
    <row r="94" spans="1:8" ht="15">
      <c r="A94" s="1100"/>
      <c r="B94" s="1102"/>
      <c r="C94" s="736" t="s">
        <v>268</v>
      </c>
      <c r="D94" s="736" t="s">
        <v>12</v>
      </c>
      <c r="E94" s="736" t="s">
        <v>13</v>
      </c>
      <c r="F94" s="737" t="s">
        <v>391</v>
      </c>
      <c r="G94" s="737" t="s">
        <v>391</v>
      </c>
      <c r="H94" s="736" t="s">
        <v>15</v>
      </c>
    </row>
    <row r="95" spans="1:8" ht="15.75">
      <c r="A95" s="310">
        <v>1</v>
      </c>
      <c r="B95" s="400" t="s">
        <v>20</v>
      </c>
      <c r="C95" s="494">
        <v>1</v>
      </c>
      <c r="D95" s="524">
        <v>4</v>
      </c>
      <c r="E95" s="528">
        <v>0</v>
      </c>
      <c r="F95" s="496">
        <v>0</v>
      </c>
      <c r="G95" s="496">
        <v>2000</v>
      </c>
      <c r="H95" s="494">
        <v>0</v>
      </c>
    </row>
    <row r="96" spans="1:8" ht="15.75">
      <c r="A96" s="310">
        <v>2</v>
      </c>
      <c r="B96" s="400" t="s">
        <v>54</v>
      </c>
      <c r="C96" s="494">
        <v>4</v>
      </c>
      <c r="D96" s="365">
        <v>18.9</v>
      </c>
      <c r="E96" s="496">
        <v>1835</v>
      </c>
      <c r="F96" s="496">
        <v>660600</v>
      </c>
      <c r="G96" s="496">
        <v>79846</v>
      </c>
      <c r="H96" s="494">
        <v>38</v>
      </c>
    </row>
    <row r="97" spans="1:8" ht="15.75">
      <c r="A97" s="310">
        <v>3</v>
      </c>
      <c r="B97" s="400" t="s">
        <v>84</v>
      </c>
      <c r="C97" s="365">
        <v>1</v>
      </c>
      <c r="D97" s="529">
        <v>296.41</v>
      </c>
      <c r="E97" s="496">
        <v>0</v>
      </c>
      <c r="F97" s="496">
        <v>0</v>
      </c>
      <c r="G97" s="496">
        <v>0</v>
      </c>
      <c r="H97" s="494">
        <v>0</v>
      </c>
    </row>
    <row r="98" spans="1:8" ht="15.75">
      <c r="A98" s="310">
        <v>4</v>
      </c>
      <c r="B98" s="400" t="s">
        <v>89</v>
      </c>
      <c r="C98" s="530">
        <v>5</v>
      </c>
      <c r="D98" s="531">
        <v>23.1</v>
      </c>
      <c r="E98" s="532">
        <v>0</v>
      </c>
      <c r="F98" s="530">
        <v>0</v>
      </c>
      <c r="G98" s="530">
        <v>0</v>
      </c>
      <c r="H98" s="530">
        <v>0</v>
      </c>
    </row>
    <row r="99" spans="1:8" ht="15.75">
      <c r="A99" s="310">
        <v>5</v>
      </c>
      <c r="B99" s="400" t="s">
        <v>95</v>
      </c>
      <c r="C99" s="494">
        <v>1</v>
      </c>
      <c r="D99" s="524">
        <v>5</v>
      </c>
      <c r="E99" s="496">
        <v>0</v>
      </c>
      <c r="F99" s="496">
        <v>0</v>
      </c>
      <c r="G99" s="496">
        <v>0</v>
      </c>
      <c r="H99" s="494">
        <v>12</v>
      </c>
    </row>
    <row r="100" spans="1:8" ht="15.75">
      <c r="A100" s="310">
        <v>6</v>
      </c>
      <c r="B100" s="400" t="s">
        <v>97</v>
      </c>
      <c r="C100" s="365">
        <v>13</v>
      </c>
      <c r="D100" s="494">
        <v>169.6238</v>
      </c>
      <c r="E100" s="365">
        <v>270</v>
      </c>
      <c r="F100" s="496">
        <v>97200</v>
      </c>
      <c r="G100" s="533">
        <v>1182000</v>
      </c>
      <c r="H100" s="494">
        <v>10</v>
      </c>
    </row>
    <row r="101" spans="1:8" ht="15.75">
      <c r="A101" s="310">
        <v>7</v>
      </c>
      <c r="B101" s="400" t="s">
        <v>102</v>
      </c>
      <c r="C101" s="494">
        <v>3</v>
      </c>
      <c r="D101" s="494">
        <v>211.57</v>
      </c>
      <c r="E101" s="496">
        <v>4045</v>
      </c>
      <c r="F101" s="496">
        <v>1456200</v>
      </c>
      <c r="G101" s="496">
        <v>298000</v>
      </c>
      <c r="H101" s="494">
        <v>515</v>
      </c>
    </row>
    <row r="102" spans="1:8" ht="15.75">
      <c r="A102" s="310">
        <v>8</v>
      </c>
      <c r="B102" s="400" t="s">
        <v>108</v>
      </c>
      <c r="C102" s="494">
        <v>10</v>
      </c>
      <c r="D102" s="494">
        <v>430.395</v>
      </c>
      <c r="E102" s="496">
        <v>55944</v>
      </c>
      <c r="F102" s="496">
        <v>20139840</v>
      </c>
      <c r="G102" s="525">
        <v>3021000</v>
      </c>
      <c r="H102" s="494">
        <v>55</v>
      </c>
    </row>
    <row r="103" spans="1:8" ht="15.75">
      <c r="A103" s="1103" t="s">
        <v>129</v>
      </c>
      <c r="B103" s="1104"/>
      <c r="C103" s="738">
        <f aca="true" t="shared" si="8" ref="C103:H103">SUM(C95:C102)</f>
        <v>38</v>
      </c>
      <c r="D103" s="739">
        <f t="shared" si="8"/>
        <v>1158.9988</v>
      </c>
      <c r="E103" s="738">
        <f t="shared" si="8"/>
        <v>62094</v>
      </c>
      <c r="F103" s="738">
        <f t="shared" si="8"/>
        <v>22353840</v>
      </c>
      <c r="G103" s="738">
        <f t="shared" si="8"/>
        <v>4582846</v>
      </c>
      <c r="H103" s="738">
        <f t="shared" si="8"/>
        <v>630</v>
      </c>
    </row>
    <row r="104" spans="1:8" ht="15">
      <c r="A104" s="422"/>
      <c r="B104" s="423"/>
      <c r="C104" s="424"/>
      <c r="D104" s="425"/>
      <c r="E104" s="426"/>
      <c r="F104" s="426"/>
      <c r="G104" s="426"/>
      <c r="H104" s="424"/>
    </row>
    <row r="105" spans="1:8" ht="18.75">
      <c r="A105" s="34"/>
      <c r="B105" s="414"/>
      <c r="C105" s="258"/>
      <c r="D105" s="415" t="s">
        <v>47</v>
      </c>
      <c r="E105" s="275"/>
      <c r="F105" s="275"/>
      <c r="G105" s="275"/>
      <c r="H105" s="258"/>
    </row>
    <row r="106" spans="1:8" ht="15">
      <c r="A106" s="1099" t="s">
        <v>4</v>
      </c>
      <c r="B106" s="1101" t="s">
        <v>114</v>
      </c>
      <c r="C106" s="735" t="s">
        <v>6</v>
      </c>
      <c r="D106" s="735" t="s">
        <v>7</v>
      </c>
      <c r="E106" s="735" t="s">
        <v>8</v>
      </c>
      <c r="F106" s="735" t="s">
        <v>9</v>
      </c>
      <c r="G106" s="735" t="s">
        <v>10</v>
      </c>
      <c r="H106" s="735" t="s">
        <v>11</v>
      </c>
    </row>
    <row r="107" spans="1:8" ht="15">
      <c r="A107" s="1100"/>
      <c r="B107" s="1102"/>
      <c r="C107" s="736" t="s">
        <v>268</v>
      </c>
      <c r="D107" s="736" t="s">
        <v>12</v>
      </c>
      <c r="E107" s="736" t="s">
        <v>13</v>
      </c>
      <c r="F107" s="737" t="s">
        <v>391</v>
      </c>
      <c r="G107" s="737" t="s">
        <v>391</v>
      </c>
      <c r="H107" s="736" t="s">
        <v>15</v>
      </c>
    </row>
    <row r="108" spans="1:8" ht="15.75">
      <c r="A108" s="310">
        <v>1</v>
      </c>
      <c r="B108" s="400" t="s">
        <v>42</v>
      </c>
      <c r="C108" s="494">
        <v>4</v>
      </c>
      <c r="D108" s="524">
        <v>19.98</v>
      </c>
      <c r="E108" s="496">
        <v>0</v>
      </c>
      <c r="F108" s="496">
        <v>0</v>
      </c>
      <c r="G108" s="496">
        <v>28000</v>
      </c>
      <c r="H108" s="496">
        <v>0</v>
      </c>
    </row>
    <row r="109" spans="1:8" ht="15.75">
      <c r="A109" s="310">
        <v>2</v>
      </c>
      <c r="B109" s="400" t="s">
        <v>54</v>
      </c>
      <c r="C109" s="494">
        <v>20</v>
      </c>
      <c r="D109" s="365">
        <v>391.1086</v>
      </c>
      <c r="E109" s="494">
        <v>208273</v>
      </c>
      <c r="F109" s="496">
        <v>62481900</v>
      </c>
      <c r="G109" s="496">
        <v>7664624</v>
      </c>
      <c r="H109" s="494">
        <v>203</v>
      </c>
    </row>
    <row r="110" spans="1:8" ht="15.75">
      <c r="A110" s="310">
        <v>3</v>
      </c>
      <c r="B110" s="400" t="s">
        <v>63</v>
      </c>
      <c r="C110" s="494">
        <v>3</v>
      </c>
      <c r="D110" s="524">
        <v>14.06</v>
      </c>
      <c r="E110" s="496">
        <v>21610</v>
      </c>
      <c r="F110" s="496">
        <v>5640210</v>
      </c>
      <c r="G110" s="496">
        <v>555000</v>
      </c>
      <c r="H110" s="494">
        <v>9</v>
      </c>
    </row>
    <row r="111" spans="1:8" ht="15.75">
      <c r="A111" s="310">
        <v>4</v>
      </c>
      <c r="B111" s="400" t="s">
        <v>67</v>
      </c>
      <c r="C111" s="494">
        <v>2</v>
      </c>
      <c r="D111" s="524">
        <v>65.5</v>
      </c>
      <c r="E111" s="496">
        <v>30519</v>
      </c>
      <c r="F111" s="496">
        <v>7629750</v>
      </c>
      <c r="G111" s="494">
        <v>725490</v>
      </c>
      <c r="H111" s="494">
        <v>14</v>
      </c>
    </row>
    <row r="112" spans="1:8" ht="15.75">
      <c r="A112" s="310">
        <v>5</v>
      </c>
      <c r="B112" s="400" t="s">
        <v>68</v>
      </c>
      <c r="C112" s="486">
        <v>3</v>
      </c>
      <c r="D112" s="365">
        <v>123.592</v>
      </c>
      <c r="E112" s="530">
        <v>453915</v>
      </c>
      <c r="F112" s="530">
        <v>127096200</v>
      </c>
      <c r="G112" s="530">
        <v>4790356</v>
      </c>
      <c r="H112" s="486">
        <v>30</v>
      </c>
    </row>
    <row r="113" spans="1:8" ht="15.75">
      <c r="A113" s="310">
        <v>6</v>
      </c>
      <c r="B113" s="400" t="s">
        <v>71</v>
      </c>
      <c r="C113" s="494">
        <v>70</v>
      </c>
      <c r="D113" s="524">
        <v>377.54</v>
      </c>
      <c r="E113" s="496">
        <v>447065</v>
      </c>
      <c r="F113" s="496">
        <v>201179313</v>
      </c>
      <c r="G113" s="496">
        <v>13931135</v>
      </c>
      <c r="H113" s="496">
        <v>435</v>
      </c>
    </row>
    <row r="114" spans="1:8" ht="15.75">
      <c r="A114" s="310">
        <v>7</v>
      </c>
      <c r="B114" s="400" t="s">
        <v>73</v>
      </c>
      <c r="C114" s="494">
        <v>1</v>
      </c>
      <c r="D114" s="365">
        <v>5</v>
      </c>
      <c r="E114" s="496">
        <v>0</v>
      </c>
      <c r="F114" s="496">
        <v>0</v>
      </c>
      <c r="G114" s="496">
        <v>0</v>
      </c>
      <c r="H114" s="494">
        <v>1</v>
      </c>
    </row>
    <row r="115" spans="1:8" ht="15.75">
      <c r="A115" s="310">
        <v>8</v>
      </c>
      <c r="B115" s="400" t="s">
        <v>82</v>
      </c>
      <c r="C115" s="494">
        <v>11</v>
      </c>
      <c r="D115" s="365">
        <v>105.655</v>
      </c>
      <c r="E115" s="496">
        <v>24761</v>
      </c>
      <c r="F115" s="496">
        <v>8666350</v>
      </c>
      <c r="G115" s="496">
        <v>681000</v>
      </c>
      <c r="H115" s="494">
        <v>120</v>
      </c>
    </row>
    <row r="116" spans="1:8" ht="15.75">
      <c r="A116" s="310">
        <v>9</v>
      </c>
      <c r="B116" s="400" t="s">
        <v>84</v>
      </c>
      <c r="C116" s="365">
        <v>8</v>
      </c>
      <c r="D116" s="529">
        <v>1854.96</v>
      </c>
      <c r="E116" s="496">
        <v>54139</v>
      </c>
      <c r="F116" s="496">
        <v>26149079</v>
      </c>
      <c r="G116" s="496">
        <v>1949000</v>
      </c>
      <c r="H116" s="494">
        <v>300</v>
      </c>
    </row>
    <row r="117" spans="1:8" ht="15.75">
      <c r="A117" s="310">
        <v>10</v>
      </c>
      <c r="B117" s="400" t="s">
        <v>86</v>
      </c>
      <c r="C117" s="534">
        <v>18</v>
      </c>
      <c r="D117" s="535">
        <v>75.2128</v>
      </c>
      <c r="E117" s="534">
        <v>158958</v>
      </c>
      <c r="F117" s="534">
        <v>47687500</v>
      </c>
      <c r="G117" s="536">
        <v>3815000</v>
      </c>
      <c r="H117" s="534">
        <v>56</v>
      </c>
    </row>
    <row r="118" spans="1:8" ht="15.75">
      <c r="A118" s="310">
        <v>11</v>
      </c>
      <c r="B118" s="400" t="s">
        <v>88</v>
      </c>
      <c r="C118" s="494">
        <v>11</v>
      </c>
      <c r="D118" s="365">
        <v>87.781</v>
      </c>
      <c r="E118" s="496">
        <v>140</v>
      </c>
      <c r="F118" s="496">
        <v>0</v>
      </c>
      <c r="G118" s="496">
        <v>207634</v>
      </c>
      <c r="H118" s="494">
        <v>0</v>
      </c>
    </row>
    <row r="119" spans="1:8" ht="15.75">
      <c r="A119" s="310">
        <v>12</v>
      </c>
      <c r="B119" s="400" t="s">
        <v>97</v>
      </c>
      <c r="C119" s="365">
        <v>1</v>
      </c>
      <c r="D119" s="494">
        <v>32.5423</v>
      </c>
      <c r="E119" s="365"/>
      <c r="F119" s="496">
        <v>0</v>
      </c>
      <c r="G119" s="533">
        <v>0</v>
      </c>
      <c r="H119" s="494">
        <v>0</v>
      </c>
    </row>
    <row r="120" spans="1:8" ht="15.75">
      <c r="A120" s="310">
        <v>13</v>
      </c>
      <c r="B120" s="400" t="s">
        <v>104</v>
      </c>
      <c r="C120" s="494">
        <v>18</v>
      </c>
      <c r="D120" s="365">
        <v>543.4719</v>
      </c>
      <c r="E120" s="496">
        <v>319840</v>
      </c>
      <c r="F120" s="496">
        <v>127936000</v>
      </c>
      <c r="G120" s="496">
        <v>11194000</v>
      </c>
      <c r="H120" s="494">
        <v>126</v>
      </c>
    </row>
    <row r="121" spans="1:8" ht="15.75">
      <c r="A121" s="1103" t="s">
        <v>129</v>
      </c>
      <c r="B121" s="1104"/>
      <c r="C121" s="738">
        <f aca="true" t="shared" si="9" ref="C121:H121">SUM(C108:C120)</f>
        <v>170</v>
      </c>
      <c r="D121" s="739">
        <f t="shared" si="9"/>
        <v>3696.4035999999996</v>
      </c>
      <c r="E121" s="738">
        <f t="shared" si="9"/>
        <v>1719220</v>
      </c>
      <c r="F121" s="738">
        <f t="shared" si="9"/>
        <v>614466302</v>
      </c>
      <c r="G121" s="738">
        <f t="shared" si="9"/>
        <v>45541239</v>
      </c>
      <c r="H121" s="738">
        <f t="shared" si="9"/>
        <v>1294</v>
      </c>
    </row>
    <row r="122" spans="1:8" ht="15">
      <c r="A122" s="422"/>
      <c r="B122" s="423"/>
      <c r="C122" s="424"/>
      <c r="D122" s="425"/>
      <c r="E122" s="426"/>
      <c r="F122" s="426"/>
      <c r="G122" s="426"/>
      <c r="H122" s="424"/>
    </row>
    <row r="123" spans="1:8" ht="18.75">
      <c r="A123" s="34"/>
      <c r="B123" s="414"/>
      <c r="C123" s="258"/>
      <c r="D123" s="415" t="s">
        <v>39</v>
      </c>
      <c r="E123" s="275"/>
      <c r="F123" s="275"/>
      <c r="G123" s="275"/>
      <c r="H123" s="258"/>
    </row>
    <row r="124" spans="1:8" ht="15">
      <c r="A124" s="1099" t="s">
        <v>4</v>
      </c>
      <c r="B124" s="1101" t="s">
        <v>114</v>
      </c>
      <c r="C124" s="735" t="s">
        <v>6</v>
      </c>
      <c r="D124" s="735" t="s">
        <v>7</v>
      </c>
      <c r="E124" s="735" t="s">
        <v>8</v>
      </c>
      <c r="F124" s="735" t="s">
        <v>9</v>
      </c>
      <c r="G124" s="735" t="s">
        <v>10</v>
      </c>
      <c r="H124" s="735" t="s">
        <v>11</v>
      </c>
    </row>
    <row r="125" spans="1:8" ht="15">
      <c r="A125" s="1100"/>
      <c r="B125" s="1102"/>
      <c r="C125" s="736" t="s">
        <v>268</v>
      </c>
      <c r="D125" s="736" t="s">
        <v>12</v>
      </c>
      <c r="E125" s="736" t="s">
        <v>13</v>
      </c>
      <c r="F125" s="737" t="s">
        <v>391</v>
      </c>
      <c r="G125" s="737" t="s">
        <v>391</v>
      </c>
      <c r="H125" s="736" t="s">
        <v>15</v>
      </c>
    </row>
    <row r="126" spans="1:8" ht="15.75">
      <c r="A126" s="310">
        <v>1</v>
      </c>
      <c r="B126" s="400" t="s">
        <v>37</v>
      </c>
      <c r="C126" s="494">
        <v>1</v>
      </c>
      <c r="D126" s="365">
        <v>71.3229</v>
      </c>
      <c r="E126" s="496">
        <v>0</v>
      </c>
      <c r="F126" s="496">
        <v>0</v>
      </c>
      <c r="G126" s="496">
        <v>42000</v>
      </c>
      <c r="H126" s="494">
        <v>0</v>
      </c>
    </row>
    <row r="127" spans="1:8" ht="15.75">
      <c r="A127" s="310">
        <v>2</v>
      </c>
      <c r="B127" s="400" t="s">
        <v>73</v>
      </c>
      <c r="C127" s="494">
        <v>2</v>
      </c>
      <c r="D127" s="365">
        <v>83.176</v>
      </c>
      <c r="E127" s="496">
        <v>0</v>
      </c>
      <c r="F127" s="496">
        <v>0</v>
      </c>
      <c r="G127" s="496">
        <v>0</v>
      </c>
      <c r="H127" s="494">
        <v>30</v>
      </c>
    </row>
    <row r="128" spans="1:8" ht="15.75">
      <c r="A128" s="310">
        <v>3</v>
      </c>
      <c r="B128" s="400" t="s">
        <v>75</v>
      </c>
      <c r="C128" s="494">
        <v>1</v>
      </c>
      <c r="D128" s="524">
        <v>32.37</v>
      </c>
      <c r="E128" s="496">
        <v>0</v>
      </c>
      <c r="F128" s="496">
        <v>0</v>
      </c>
      <c r="G128" s="496">
        <v>0</v>
      </c>
      <c r="H128" s="494">
        <v>0</v>
      </c>
    </row>
    <row r="129" spans="1:8" ht="15.75">
      <c r="A129" s="310">
        <v>4</v>
      </c>
      <c r="B129" s="400" t="s">
        <v>84</v>
      </c>
      <c r="C129" s="365">
        <v>1</v>
      </c>
      <c r="D129" s="529">
        <v>60.56</v>
      </c>
      <c r="E129" s="537">
        <v>0</v>
      </c>
      <c r="F129" s="496">
        <v>0</v>
      </c>
      <c r="G129" s="496">
        <v>0</v>
      </c>
      <c r="H129" s="494">
        <v>0</v>
      </c>
    </row>
    <row r="130" spans="1:8" ht="15.75">
      <c r="A130" s="310">
        <v>5</v>
      </c>
      <c r="B130" s="400" t="s">
        <v>264</v>
      </c>
      <c r="C130" s="494">
        <v>0</v>
      </c>
      <c r="D130" s="524">
        <v>0</v>
      </c>
      <c r="E130" s="496">
        <v>7280</v>
      </c>
      <c r="F130" s="496">
        <v>3458000</v>
      </c>
      <c r="G130" s="496">
        <v>439000</v>
      </c>
      <c r="H130" s="494">
        <v>0</v>
      </c>
    </row>
    <row r="131" spans="1:8" ht="15.75">
      <c r="A131" s="310">
        <v>6</v>
      </c>
      <c r="B131" s="400" t="s">
        <v>90</v>
      </c>
      <c r="C131" s="530">
        <v>7</v>
      </c>
      <c r="D131" s="538">
        <v>862.363</v>
      </c>
      <c r="E131" s="496">
        <v>646608</v>
      </c>
      <c r="F131" s="530">
        <v>16165200</v>
      </c>
      <c r="G131" s="530">
        <v>5581000</v>
      </c>
      <c r="H131" s="494">
        <v>307</v>
      </c>
    </row>
    <row r="132" spans="1:8" ht="15.75">
      <c r="A132" s="310">
        <v>7</v>
      </c>
      <c r="B132" s="400" t="s">
        <v>95</v>
      </c>
      <c r="C132" s="494">
        <v>0</v>
      </c>
      <c r="D132" s="494">
        <v>0</v>
      </c>
      <c r="E132" s="496">
        <v>4070</v>
      </c>
      <c r="F132" s="496">
        <v>2035000</v>
      </c>
      <c r="G132" s="496">
        <v>250000</v>
      </c>
      <c r="H132" s="494"/>
    </row>
    <row r="133" spans="1:8" ht="15.75">
      <c r="A133" s="310">
        <v>8</v>
      </c>
      <c r="B133" s="400" t="s">
        <v>97</v>
      </c>
      <c r="C133" s="365">
        <v>2</v>
      </c>
      <c r="D133" s="494">
        <v>38.1003</v>
      </c>
      <c r="E133" s="365">
        <v>0</v>
      </c>
      <c r="F133" s="496">
        <v>0</v>
      </c>
      <c r="G133" s="533">
        <v>31000</v>
      </c>
      <c r="H133" s="494">
        <v>2</v>
      </c>
    </row>
    <row r="134" spans="1:8" ht="15.75">
      <c r="A134" s="310">
        <v>9</v>
      </c>
      <c r="B134" s="400" t="s">
        <v>108</v>
      </c>
      <c r="C134" s="494">
        <v>0</v>
      </c>
      <c r="D134" s="494">
        <v>0</v>
      </c>
      <c r="E134" s="496">
        <v>238063</v>
      </c>
      <c r="F134" s="496">
        <v>119031500</v>
      </c>
      <c r="G134" s="525">
        <v>14998000</v>
      </c>
      <c r="H134" s="494"/>
    </row>
    <row r="135" spans="1:8" ht="15.75">
      <c r="A135" s="1103" t="s">
        <v>129</v>
      </c>
      <c r="B135" s="1104"/>
      <c r="C135" s="738">
        <f aca="true" t="shared" si="10" ref="C135:H135">SUM(C126:C134)</f>
        <v>14</v>
      </c>
      <c r="D135" s="739">
        <f t="shared" si="10"/>
        <v>1147.8922000000002</v>
      </c>
      <c r="E135" s="738">
        <f t="shared" si="10"/>
        <v>896021</v>
      </c>
      <c r="F135" s="738">
        <f t="shared" si="10"/>
        <v>140689700</v>
      </c>
      <c r="G135" s="738">
        <f t="shared" si="10"/>
        <v>21341000</v>
      </c>
      <c r="H135" s="738">
        <f t="shared" si="10"/>
        <v>339</v>
      </c>
    </row>
    <row r="136" spans="1:8" ht="15">
      <c r="A136" s="422"/>
      <c r="B136" s="423"/>
      <c r="C136" s="424"/>
      <c r="D136" s="425"/>
      <c r="E136" s="426"/>
      <c r="F136" s="426"/>
      <c r="G136" s="426"/>
      <c r="H136" s="424"/>
    </row>
    <row r="137" spans="1:8" ht="18.75">
      <c r="A137" s="34"/>
      <c r="B137" s="414"/>
      <c r="C137" s="258"/>
      <c r="D137" s="415" t="s">
        <v>269</v>
      </c>
      <c r="E137" s="275"/>
      <c r="F137" s="275"/>
      <c r="G137" s="275"/>
      <c r="H137" s="258"/>
    </row>
    <row r="138" spans="1:8" ht="15">
      <c r="A138" s="1099" t="s">
        <v>4</v>
      </c>
      <c r="B138" s="1101" t="s">
        <v>114</v>
      </c>
      <c r="C138" s="735" t="s">
        <v>6</v>
      </c>
      <c r="D138" s="735" t="s">
        <v>7</v>
      </c>
      <c r="E138" s="735" t="s">
        <v>8</v>
      </c>
      <c r="F138" s="735" t="s">
        <v>9</v>
      </c>
      <c r="G138" s="735" t="s">
        <v>10</v>
      </c>
      <c r="H138" s="735" t="s">
        <v>11</v>
      </c>
    </row>
    <row r="139" spans="1:8" ht="15">
      <c r="A139" s="1100"/>
      <c r="B139" s="1102"/>
      <c r="C139" s="736" t="s">
        <v>268</v>
      </c>
      <c r="D139" s="736" t="s">
        <v>12</v>
      </c>
      <c r="E139" s="736" t="s">
        <v>13</v>
      </c>
      <c r="F139" s="737" t="s">
        <v>391</v>
      </c>
      <c r="G139" s="737" t="s">
        <v>391</v>
      </c>
      <c r="H139" s="736" t="s">
        <v>15</v>
      </c>
    </row>
    <row r="140" spans="1:8" ht="15.75">
      <c r="A140" s="310">
        <v>1</v>
      </c>
      <c r="B140" s="478" t="s">
        <v>20</v>
      </c>
      <c r="C140" s="494">
        <v>1</v>
      </c>
      <c r="D140" s="524">
        <v>46.32</v>
      </c>
      <c r="E140" s="528"/>
      <c r="F140" s="496"/>
      <c r="G140" s="496">
        <v>185280</v>
      </c>
      <c r="H140" s="494">
        <v>2</v>
      </c>
    </row>
    <row r="141" spans="1:8" ht="15.75">
      <c r="A141" s="1103" t="s">
        <v>129</v>
      </c>
      <c r="B141" s="1104"/>
      <c r="C141" s="738">
        <f aca="true" t="shared" si="11" ref="C141:H141">SUM(C139:C140)</f>
        <v>1</v>
      </c>
      <c r="D141" s="739">
        <f t="shared" si="11"/>
        <v>46.32</v>
      </c>
      <c r="E141" s="738">
        <f t="shared" si="11"/>
        <v>0</v>
      </c>
      <c r="F141" s="738">
        <f t="shared" si="11"/>
        <v>0</v>
      </c>
      <c r="G141" s="738">
        <f t="shared" si="11"/>
        <v>185280</v>
      </c>
      <c r="H141" s="738">
        <f t="shared" si="11"/>
        <v>2</v>
      </c>
    </row>
    <row r="142" spans="1:8" ht="15">
      <c r="A142" s="422"/>
      <c r="B142" s="423"/>
      <c r="C142" s="424"/>
      <c r="D142" s="425"/>
      <c r="E142" s="426"/>
      <c r="F142" s="426"/>
      <c r="G142" s="426"/>
      <c r="H142" s="424"/>
    </row>
    <row r="143" spans="1:8" ht="18.75">
      <c r="A143" s="34"/>
      <c r="B143" s="414"/>
      <c r="C143" s="258"/>
      <c r="D143" s="415" t="s">
        <v>99</v>
      </c>
      <c r="E143" s="275"/>
      <c r="F143" s="275"/>
      <c r="G143" s="275"/>
      <c r="H143" s="258"/>
    </row>
    <row r="144" spans="1:8" ht="15">
      <c r="A144" s="1099" t="s">
        <v>4</v>
      </c>
      <c r="B144" s="1101" t="s">
        <v>114</v>
      </c>
      <c r="C144" s="735" t="s">
        <v>6</v>
      </c>
      <c r="D144" s="735" t="s">
        <v>7</v>
      </c>
      <c r="E144" s="735" t="s">
        <v>8</v>
      </c>
      <c r="F144" s="735" t="s">
        <v>9</v>
      </c>
      <c r="G144" s="735" t="s">
        <v>10</v>
      </c>
      <c r="H144" s="735" t="s">
        <v>11</v>
      </c>
    </row>
    <row r="145" spans="1:8" ht="15">
      <c r="A145" s="1100"/>
      <c r="B145" s="1102"/>
      <c r="C145" s="736" t="s">
        <v>268</v>
      </c>
      <c r="D145" s="736" t="s">
        <v>12</v>
      </c>
      <c r="E145" s="736" t="s">
        <v>13</v>
      </c>
      <c r="F145" s="737" t="s">
        <v>391</v>
      </c>
      <c r="G145" s="737" t="s">
        <v>391</v>
      </c>
      <c r="H145" s="736" t="s">
        <v>15</v>
      </c>
    </row>
    <row r="146" spans="1:8" ht="15.75">
      <c r="A146" s="310">
        <v>1</v>
      </c>
      <c r="B146" s="478" t="s">
        <v>49</v>
      </c>
      <c r="C146" s="541">
        <v>1</v>
      </c>
      <c r="D146" s="542">
        <v>5</v>
      </c>
      <c r="E146" s="489"/>
      <c r="F146" s="477"/>
      <c r="G146" s="488"/>
      <c r="H146" s="488"/>
    </row>
    <row r="147" spans="1:8" ht="15">
      <c r="A147" s="310">
        <v>2</v>
      </c>
      <c r="B147" s="417" t="s">
        <v>97</v>
      </c>
      <c r="C147" s="404"/>
      <c r="D147" s="418"/>
      <c r="E147" s="419"/>
      <c r="F147" s="419"/>
      <c r="G147" s="419"/>
      <c r="H147" s="352"/>
    </row>
    <row r="148" spans="1:8" ht="15.75">
      <c r="A148" s="1103" t="s">
        <v>129</v>
      </c>
      <c r="B148" s="1104"/>
      <c r="C148" s="738">
        <f aca="true" t="shared" si="12" ref="C148:H148">SUM(C146:C147)</f>
        <v>1</v>
      </c>
      <c r="D148" s="739">
        <f t="shared" si="12"/>
        <v>5</v>
      </c>
      <c r="E148" s="738">
        <f t="shared" si="12"/>
        <v>0</v>
      </c>
      <c r="F148" s="738">
        <f t="shared" si="12"/>
        <v>0</v>
      </c>
      <c r="G148" s="738">
        <f t="shared" si="12"/>
        <v>0</v>
      </c>
      <c r="H148" s="738">
        <f t="shared" si="12"/>
        <v>0</v>
      </c>
    </row>
    <row r="149" spans="1:8" ht="18.75">
      <c r="A149" s="34"/>
      <c r="B149" s="414"/>
      <c r="C149" s="258"/>
      <c r="D149" s="415" t="s">
        <v>70</v>
      </c>
      <c r="E149" s="275"/>
      <c r="F149" s="275"/>
      <c r="G149" s="275"/>
      <c r="H149" s="258"/>
    </row>
    <row r="150" spans="1:8" ht="15">
      <c r="A150" s="1099" t="s">
        <v>4</v>
      </c>
      <c r="B150" s="1101" t="s">
        <v>114</v>
      </c>
      <c r="C150" s="735" t="s">
        <v>6</v>
      </c>
      <c r="D150" s="735" t="s">
        <v>7</v>
      </c>
      <c r="E150" s="735" t="s">
        <v>8</v>
      </c>
      <c r="F150" s="735" t="s">
        <v>9</v>
      </c>
      <c r="G150" s="735" t="s">
        <v>10</v>
      </c>
      <c r="H150" s="735" t="s">
        <v>11</v>
      </c>
    </row>
    <row r="151" spans="1:8" ht="15">
      <c r="A151" s="1100"/>
      <c r="B151" s="1102"/>
      <c r="C151" s="736" t="s">
        <v>268</v>
      </c>
      <c r="D151" s="736" t="s">
        <v>12</v>
      </c>
      <c r="E151" s="736" t="s">
        <v>13</v>
      </c>
      <c r="F151" s="737" t="s">
        <v>391</v>
      </c>
      <c r="G151" s="737" t="s">
        <v>391</v>
      </c>
      <c r="H151" s="736" t="s">
        <v>15</v>
      </c>
    </row>
    <row r="152" spans="1:8" ht="15.75">
      <c r="A152" s="310">
        <v>1</v>
      </c>
      <c r="B152" s="478" t="s">
        <v>69</v>
      </c>
      <c r="C152" s="494">
        <v>2</v>
      </c>
      <c r="D152" s="524">
        <v>9.95</v>
      </c>
      <c r="E152" s="496">
        <v>0</v>
      </c>
      <c r="F152" s="496">
        <v>0</v>
      </c>
      <c r="G152" s="496">
        <v>0</v>
      </c>
      <c r="H152" s="496">
        <v>0</v>
      </c>
    </row>
    <row r="153" spans="1:8" ht="15.75">
      <c r="A153" s="310">
        <v>2</v>
      </c>
      <c r="B153" s="478" t="s">
        <v>79</v>
      </c>
      <c r="C153" s="494">
        <v>4</v>
      </c>
      <c r="D153" s="524">
        <v>1075</v>
      </c>
      <c r="E153" s="496"/>
      <c r="F153" s="496"/>
      <c r="G153" s="496"/>
      <c r="H153" s="494">
        <v>15</v>
      </c>
    </row>
    <row r="154" spans="1:8" ht="15.75">
      <c r="A154" s="1103" t="s">
        <v>129</v>
      </c>
      <c r="B154" s="1104"/>
      <c r="C154" s="738">
        <f aca="true" t="shared" si="13" ref="C154:H154">SUM(C152:C153)</f>
        <v>6</v>
      </c>
      <c r="D154" s="739">
        <f t="shared" si="13"/>
        <v>1084.95</v>
      </c>
      <c r="E154" s="738">
        <f t="shared" si="13"/>
        <v>0</v>
      </c>
      <c r="F154" s="738">
        <f t="shared" si="13"/>
        <v>0</v>
      </c>
      <c r="G154" s="738">
        <f t="shared" si="13"/>
        <v>0</v>
      </c>
      <c r="H154" s="738">
        <f t="shared" si="13"/>
        <v>15</v>
      </c>
    </row>
    <row r="155" spans="1:8" ht="18.75">
      <c r="A155" s="34"/>
      <c r="B155" s="414"/>
      <c r="C155" s="258"/>
      <c r="D155" s="415" t="s">
        <v>62</v>
      </c>
      <c r="E155" s="275"/>
      <c r="F155" s="275"/>
      <c r="G155" s="275"/>
      <c r="H155" s="258"/>
    </row>
    <row r="156" spans="1:8" ht="15">
      <c r="A156" s="1099" t="s">
        <v>4</v>
      </c>
      <c r="B156" s="1101" t="s">
        <v>114</v>
      </c>
      <c r="C156" s="735" t="s">
        <v>6</v>
      </c>
      <c r="D156" s="735" t="s">
        <v>7</v>
      </c>
      <c r="E156" s="735" t="s">
        <v>8</v>
      </c>
      <c r="F156" s="735" t="s">
        <v>9</v>
      </c>
      <c r="G156" s="735" t="s">
        <v>10</v>
      </c>
      <c r="H156" s="735" t="s">
        <v>11</v>
      </c>
    </row>
    <row r="157" spans="1:8" ht="15">
      <c r="A157" s="1100"/>
      <c r="B157" s="1102"/>
      <c r="C157" s="736" t="s">
        <v>268</v>
      </c>
      <c r="D157" s="736" t="s">
        <v>12</v>
      </c>
      <c r="E157" s="736" t="s">
        <v>13</v>
      </c>
      <c r="F157" s="737" t="s">
        <v>391</v>
      </c>
      <c r="G157" s="737" t="s">
        <v>391</v>
      </c>
      <c r="H157" s="736" t="s">
        <v>15</v>
      </c>
    </row>
    <row r="158" spans="1:8" ht="15.75">
      <c r="A158" s="310">
        <v>1</v>
      </c>
      <c r="B158" s="478" t="s">
        <v>20</v>
      </c>
      <c r="C158" s="494">
        <v>6</v>
      </c>
      <c r="D158" s="524">
        <v>24.5</v>
      </c>
      <c r="E158" s="528"/>
      <c r="F158" s="496"/>
      <c r="G158" s="496">
        <v>126000</v>
      </c>
      <c r="H158" s="494">
        <v>2</v>
      </c>
    </row>
    <row r="159" spans="1:8" ht="15.75">
      <c r="A159" s="310">
        <v>2</v>
      </c>
      <c r="B159" s="478" t="s">
        <v>54</v>
      </c>
      <c r="C159" s="486">
        <v>1</v>
      </c>
      <c r="D159" s="365">
        <v>4.27</v>
      </c>
      <c r="E159" s="494">
        <v>714</v>
      </c>
      <c r="F159" s="496">
        <v>714000</v>
      </c>
      <c r="G159" s="540">
        <v>56810</v>
      </c>
      <c r="H159" s="486">
        <v>10</v>
      </c>
    </row>
    <row r="160" spans="1:8" ht="15.75">
      <c r="A160" s="310">
        <v>3</v>
      </c>
      <c r="B160" s="480" t="s">
        <v>105</v>
      </c>
      <c r="C160" s="494">
        <v>4</v>
      </c>
      <c r="D160" s="496">
        <v>19.7583</v>
      </c>
      <c r="E160" s="496"/>
      <c r="F160" s="496"/>
      <c r="G160" s="496">
        <v>94000</v>
      </c>
      <c r="H160" s="494"/>
    </row>
    <row r="161" spans="1:8" ht="15.75">
      <c r="A161" s="1103" t="s">
        <v>129</v>
      </c>
      <c r="B161" s="1104"/>
      <c r="C161" s="738">
        <f aca="true" t="shared" si="14" ref="C161:H161">SUM(C158:C160)</f>
        <v>11</v>
      </c>
      <c r="D161" s="739">
        <f t="shared" si="14"/>
        <v>48.5283</v>
      </c>
      <c r="E161" s="738">
        <f t="shared" si="14"/>
        <v>714</v>
      </c>
      <c r="F161" s="738">
        <f t="shared" si="14"/>
        <v>714000</v>
      </c>
      <c r="G161" s="738">
        <f t="shared" si="14"/>
        <v>276810</v>
      </c>
      <c r="H161" s="738">
        <f t="shared" si="14"/>
        <v>12</v>
      </c>
    </row>
    <row r="162" spans="1:8" ht="15">
      <c r="A162" s="422"/>
      <c r="B162" s="423"/>
      <c r="C162" s="424"/>
      <c r="D162" s="425"/>
      <c r="E162" s="426"/>
      <c r="F162" s="426"/>
      <c r="G162" s="426"/>
      <c r="H162" s="424"/>
    </row>
    <row r="163" spans="1:8" ht="18.75">
      <c r="A163" s="34"/>
      <c r="B163" s="414"/>
      <c r="C163" s="258"/>
      <c r="D163" s="415" t="s">
        <v>40</v>
      </c>
      <c r="E163" s="275"/>
      <c r="F163" s="275"/>
      <c r="G163" s="275"/>
      <c r="H163" s="258"/>
    </row>
    <row r="164" spans="1:8" ht="15">
      <c r="A164" s="1099" t="s">
        <v>4</v>
      </c>
      <c r="B164" s="1101" t="s">
        <v>114</v>
      </c>
      <c r="C164" s="735" t="s">
        <v>6</v>
      </c>
      <c r="D164" s="735" t="s">
        <v>7</v>
      </c>
      <c r="E164" s="735" t="s">
        <v>8</v>
      </c>
      <c r="F164" s="735" t="s">
        <v>9</v>
      </c>
      <c r="G164" s="735" t="s">
        <v>10</v>
      </c>
      <c r="H164" s="735" t="s">
        <v>11</v>
      </c>
    </row>
    <row r="165" spans="1:8" ht="15">
      <c r="A165" s="1100"/>
      <c r="B165" s="1102"/>
      <c r="C165" s="736" t="s">
        <v>268</v>
      </c>
      <c r="D165" s="736" t="s">
        <v>12</v>
      </c>
      <c r="E165" s="736" t="s">
        <v>13</v>
      </c>
      <c r="F165" s="737" t="s">
        <v>391</v>
      </c>
      <c r="G165" s="737" t="s">
        <v>391</v>
      </c>
      <c r="H165" s="736" t="s">
        <v>15</v>
      </c>
    </row>
    <row r="166" spans="1:8" ht="15">
      <c r="A166" s="310">
        <v>1</v>
      </c>
      <c r="B166" s="417" t="s">
        <v>37</v>
      </c>
      <c r="C166" s="404"/>
      <c r="D166" s="418"/>
      <c r="E166" s="419"/>
      <c r="F166" s="419"/>
      <c r="G166" s="419"/>
      <c r="H166" s="352"/>
    </row>
    <row r="167" spans="1:8" ht="15.75">
      <c r="A167" s="1103" t="s">
        <v>129</v>
      </c>
      <c r="B167" s="1104"/>
      <c r="C167" s="738">
        <f aca="true" t="shared" si="15" ref="C167:H167">SUM(C165:C166)</f>
        <v>0</v>
      </c>
      <c r="D167" s="739">
        <f t="shared" si="15"/>
        <v>0</v>
      </c>
      <c r="E167" s="738">
        <f t="shared" si="15"/>
        <v>0</v>
      </c>
      <c r="F167" s="738">
        <f t="shared" si="15"/>
        <v>0</v>
      </c>
      <c r="G167" s="738">
        <f t="shared" si="15"/>
        <v>0</v>
      </c>
      <c r="H167" s="738">
        <f t="shared" si="15"/>
        <v>0</v>
      </c>
    </row>
    <row r="168" spans="1:8" ht="15">
      <c r="A168" s="422"/>
      <c r="B168" s="423"/>
      <c r="C168" s="424"/>
      <c r="D168" s="425"/>
      <c r="E168" s="426"/>
      <c r="F168" s="426"/>
      <c r="G168" s="426"/>
      <c r="H168" s="424"/>
    </row>
    <row r="169" spans="1:8" ht="18.75">
      <c r="A169" s="34"/>
      <c r="B169" s="414"/>
      <c r="C169" s="258"/>
      <c r="D169" s="415" t="s">
        <v>48</v>
      </c>
      <c r="E169" s="275"/>
      <c r="F169" s="275"/>
      <c r="G169" s="275"/>
      <c r="H169" s="258"/>
    </row>
    <row r="170" spans="1:8" ht="15">
      <c r="A170" s="1099" t="s">
        <v>4</v>
      </c>
      <c r="B170" s="1101" t="s">
        <v>114</v>
      </c>
      <c r="C170" s="735" t="s">
        <v>6</v>
      </c>
      <c r="D170" s="735" t="s">
        <v>7</v>
      </c>
      <c r="E170" s="735" t="s">
        <v>8</v>
      </c>
      <c r="F170" s="735" t="s">
        <v>9</v>
      </c>
      <c r="G170" s="735" t="s">
        <v>10</v>
      </c>
      <c r="H170" s="735" t="s">
        <v>11</v>
      </c>
    </row>
    <row r="171" spans="1:8" ht="15">
      <c r="A171" s="1100"/>
      <c r="B171" s="1102"/>
      <c r="C171" s="736" t="s">
        <v>268</v>
      </c>
      <c r="D171" s="736" t="s">
        <v>12</v>
      </c>
      <c r="E171" s="736" t="s">
        <v>13</v>
      </c>
      <c r="F171" s="737" t="s">
        <v>391</v>
      </c>
      <c r="G171" s="737" t="s">
        <v>391</v>
      </c>
      <c r="H171" s="736" t="s">
        <v>15</v>
      </c>
    </row>
    <row r="172" spans="1:8" ht="15.75">
      <c r="A172" s="310">
        <v>1</v>
      </c>
      <c r="B172" s="400" t="s">
        <v>42</v>
      </c>
      <c r="C172" s="494">
        <v>1</v>
      </c>
      <c r="D172" s="524">
        <v>336.08</v>
      </c>
      <c r="E172" s="496"/>
      <c r="F172" s="496"/>
      <c r="G172" s="496">
        <v>336000</v>
      </c>
      <c r="H172" s="496"/>
    </row>
    <row r="173" spans="1:8" ht="15.75">
      <c r="A173" s="310">
        <v>2</v>
      </c>
      <c r="B173" s="400" t="s">
        <v>65</v>
      </c>
      <c r="C173" s="494">
        <v>18</v>
      </c>
      <c r="D173" s="524">
        <v>5379.45</v>
      </c>
      <c r="E173" s="496">
        <v>1430438</v>
      </c>
      <c r="F173" s="496">
        <v>679458050</v>
      </c>
      <c r="G173" s="496">
        <v>254545877</v>
      </c>
      <c r="H173" s="494">
        <v>450</v>
      </c>
    </row>
    <row r="174" spans="1:8" ht="15.75">
      <c r="A174" s="310">
        <v>3</v>
      </c>
      <c r="B174" s="400" t="s">
        <v>75</v>
      </c>
      <c r="C174" s="494">
        <v>3</v>
      </c>
      <c r="D174" s="524">
        <v>922.47</v>
      </c>
      <c r="E174" s="496">
        <v>560878</v>
      </c>
      <c r="F174" s="496">
        <v>347743821</v>
      </c>
      <c r="G174" s="496">
        <v>42843000</v>
      </c>
      <c r="H174" s="494">
        <v>50</v>
      </c>
    </row>
    <row r="175" spans="1:8" ht="15.75">
      <c r="A175" s="310">
        <v>4</v>
      </c>
      <c r="B175" s="400" t="s">
        <v>79</v>
      </c>
      <c r="C175" s="494">
        <v>1</v>
      </c>
      <c r="D175" s="524">
        <v>178.05</v>
      </c>
      <c r="E175" s="496"/>
      <c r="F175" s="496"/>
      <c r="G175" s="496"/>
      <c r="H175" s="494">
        <v>91</v>
      </c>
    </row>
    <row r="176" spans="1:8" ht="15.75">
      <c r="A176" s="310">
        <v>5</v>
      </c>
      <c r="B176" s="400" t="s">
        <v>86</v>
      </c>
      <c r="C176" s="534">
        <v>2</v>
      </c>
      <c r="D176" s="535">
        <v>1993.02</v>
      </c>
      <c r="E176" s="534">
        <v>349577</v>
      </c>
      <c r="F176" s="534">
        <v>125847644</v>
      </c>
      <c r="G176" s="536">
        <v>39705000</v>
      </c>
      <c r="H176" s="534">
        <v>90</v>
      </c>
    </row>
    <row r="177" spans="1:8" ht="15.75">
      <c r="A177" s="310">
        <v>6</v>
      </c>
      <c r="B177" s="400" t="s">
        <v>96</v>
      </c>
      <c r="C177" s="494">
        <v>19</v>
      </c>
      <c r="D177" s="524">
        <v>4761.17</v>
      </c>
      <c r="E177" s="496">
        <v>376959</v>
      </c>
      <c r="F177" s="496">
        <v>179055525</v>
      </c>
      <c r="G177" s="496">
        <v>33444000</v>
      </c>
      <c r="H177" s="494">
        <v>190</v>
      </c>
    </row>
    <row r="178" spans="1:8" ht="15.75">
      <c r="A178" s="310">
        <v>7</v>
      </c>
      <c r="B178" s="400" t="s">
        <v>104</v>
      </c>
      <c r="C178" s="494"/>
      <c r="D178" s="365"/>
      <c r="E178" s="496"/>
      <c r="F178" s="496"/>
      <c r="G178" s="496"/>
      <c r="H178" s="494"/>
    </row>
    <row r="179" spans="1:8" ht="15.75">
      <c r="A179" s="1103" t="s">
        <v>129</v>
      </c>
      <c r="B179" s="1104"/>
      <c r="C179" s="738">
        <f aca="true" t="shared" si="16" ref="C179:H179">SUM(C172:C178)</f>
        <v>44</v>
      </c>
      <c r="D179" s="739">
        <f t="shared" si="16"/>
        <v>13570.24</v>
      </c>
      <c r="E179" s="738">
        <f t="shared" si="16"/>
        <v>2717852</v>
      </c>
      <c r="F179" s="738">
        <f t="shared" si="16"/>
        <v>1332105040</v>
      </c>
      <c r="G179" s="738">
        <f t="shared" si="16"/>
        <v>370873877</v>
      </c>
      <c r="H179" s="738">
        <f t="shared" si="16"/>
        <v>871</v>
      </c>
    </row>
    <row r="180" spans="1:8" ht="18.75">
      <c r="A180" s="34"/>
      <c r="B180" s="414"/>
      <c r="C180" s="258"/>
      <c r="D180" s="415" t="s">
        <v>80</v>
      </c>
      <c r="E180" s="275"/>
      <c r="F180" s="275"/>
      <c r="G180" s="275"/>
      <c r="H180" s="258"/>
    </row>
    <row r="181" spans="1:8" ht="15">
      <c r="A181" s="1099" t="s">
        <v>4</v>
      </c>
      <c r="B181" s="1101" t="s">
        <v>114</v>
      </c>
      <c r="C181" s="735" t="s">
        <v>6</v>
      </c>
      <c r="D181" s="735" t="s">
        <v>7</v>
      </c>
      <c r="E181" s="735" t="s">
        <v>8</v>
      </c>
      <c r="F181" s="735" t="s">
        <v>9</v>
      </c>
      <c r="G181" s="735" t="s">
        <v>10</v>
      </c>
      <c r="H181" s="735" t="s">
        <v>11</v>
      </c>
    </row>
    <row r="182" spans="1:8" ht="15">
      <c r="A182" s="1100"/>
      <c r="B182" s="1102"/>
      <c r="C182" s="736" t="s">
        <v>268</v>
      </c>
      <c r="D182" s="736" t="s">
        <v>12</v>
      </c>
      <c r="E182" s="736" t="s">
        <v>13</v>
      </c>
      <c r="F182" s="737" t="s">
        <v>391</v>
      </c>
      <c r="G182" s="737" t="s">
        <v>391</v>
      </c>
      <c r="H182" s="736" t="s">
        <v>15</v>
      </c>
    </row>
    <row r="183" spans="1:8" ht="15.75">
      <c r="A183" s="310">
        <v>1</v>
      </c>
      <c r="B183" s="478" t="s">
        <v>79</v>
      </c>
      <c r="C183" s="494">
        <v>1</v>
      </c>
      <c r="D183" s="524">
        <v>24.55</v>
      </c>
      <c r="E183" s="496">
        <v>850</v>
      </c>
      <c r="F183" s="496">
        <v>8921500</v>
      </c>
      <c r="G183" s="496">
        <v>31000</v>
      </c>
      <c r="H183" s="494">
        <v>15</v>
      </c>
    </row>
    <row r="184" spans="1:8" ht="15.75">
      <c r="A184" s="310">
        <v>2</v>
      </c>
      <c r="B184" s="478" t="s">
        <v>81</v>
      </c>
      <c r="C184" s="494">
        <v>6</v>
      </c>
      <c r="D184" s="543">
        <v>208.33</v>
      </c>
      <c r="E184" s="496"/>
      <c r="F184" s="496"/>
      <c r="G184" s="496">
        <v>16000</v>
      </c>
      <c r="H184" s="494"/>
    </row>
    <row r="185" spans="1:8" ht="15.75">
      <c r="A185" s="1103" t="s">
        <v>129</v>
      </c>
      <c r="B185" s="1104"/>
      <c r="C185" s="738">
        <f aca="true" t="shared" si="17" ref="C185:H185">SUM(C183:C184)</f>
        <v>7</v>
      </c>
      <c r="D185" s="739">
        <f t="shared" si="17"/>
        <v>232.88000000000002</v>
      </c>
      <c r="E185" s="738">
        <f t="shared" si="17"/>
        <v>850</v>
      </c>
      <c r="F185" s="738">
        <f t="shared" si="17"/>
        <v>8921500</v>
      </c>
      <c r="G185" s="738">
        <f t="shared" si="17"/>
        <v>47000</v>
      </c>
      <c r="H185" s="738">
        <f t="shared" si="17"/>
        <v>15</v>
      </c>
    </row>
    <row r="186" spans="1:8" ht="18.75">
      <c r="A186" s="34"/>
      <c r="B186" s="414"/>
      <c r="C186" s="258"/>
      <c r="D186" s="415" t="s">
        <v>60</v>
      </c>
      <c r="E186" s="275"/>
      <c r="F186" s="275"/>
      <c r="G186" s="275"/>
      <c r="H186" s="258"/>
    </row>
    <row r="187" spans="1:8" ht="15">
      <c r="A187" s="1099" t="s">
        <v>4</v>
      </c>
      <c r="B187" s="1101" t="s">
        <v>114</v>
      </c>
      <c r="C187" s="735" t="s">
        <v>6</v>
      </c>
      <c r="D187" s="735" t="s">
        <v>7</v>
      </c>
      <c r="E187" s="735" t="s">
        <v>8</v>
      </c>
      <c r="F187" s="735" t="s">
        <v>9</v>
      </c>
      <c r="G187" s="735" t="s">
        <v>10</v>
      </c>
      <c r="H187" s="735" t="s">
        <v>11</v>
      </c>
    </row>
    <row r="188" spans="1:8" ht="15">
      <c r="A188" s="1100"/>
      <c r="B188" s="1102"/>
      <c r="C188" s="736" t="s">
        <v>268</v>
      </c>
      <c r="D188" s="736" t="s">
        <v>12</v>
      </c>
      <c r="E188" s="736" t="s">
        <v>13</v>
      </c>
      <c r="F188" s="737" t="s">
        <v>391</v>
      </c>
      <c r="G188" s="737" t="s">
        <v>391</v>
      </c>
      <c r="H188" s="736" t="s">
        <v>15</v>
      </c>
    </row>
    <row r="189" spans="1:8" ht="15.75">
      <c r="A189" s="310">
        <v>1</v>
      </c>
      <c r="B189" s="478" t="s">
        <v>54</v>
      </c>
      <c r="C189" s="494">
        <v>3</v>
      </c>
      <c r="D189" s="365">
        <v>154</v>
      </c>
      <c r="E189" s="494">
        <v>0</v>
      </c>
      <c r="F189" s="496">
        <v>0</v>
      </c>
      <c r="G189" s="496">
        <v>8115</v>
      </c>
      <c r="H189" s="494">
        <v>5</v>
      </c>
    </row>
    <row r="190" spans="1:8" ht="15.75">
      <c r="A190" s="1103" t="s">
        <v>129</v>
      </c>
      <c r="B190" s="1104"/>
      <c r="C190" s="738">
        <f aca="true" t="shared" si="18" ref="C190:H190">SUM(C189)</f>
        <v>3</v>
      </c>
      <c r="D190" s="739">
        <f t="shared" si="18"/>
        <v>154</v>
      </c>
      <c r="E190" s="738">
        <f t="shared" si="18"/>
        <v>0</v>
      </c>
      <c r="F190" s="738">
        <f t="shared" si="18"/>
        <v>0</v>
      </c>
      <c r="G190" s="738">
        <f t="shared" si="18"/>
        <v>8115</v>
      </c>
      <c r="H190" s="738">
        <f t="shared" si="18"/>
        <v>5</v>
      </c>
    </row>
    <row r="191" spans="1:8" ht="15">
      <c r="A191" s="422"/>
      <c r="B191" s="423"/>
      <c r="C191" s="424"/>
      <c r="D191" s="425"/>
      <c r="E191" s="426"/>
      <c r="F191" s="426"/>
      <c r="G191" s="426"/>
      <c r="H191" s="424"/>
    </row>
    <row r="192" spans="1:8" ht="18.75">
      <c r="A192" s="34"/>
      <c r="B192" s="414"/>
      <c r="C192" s="258"/>
      <c r="D192" s="415" t="s">
        <v>27</v>
      </c>
      <c r="E192" s="275"/>
      <c r="F192" s="275"/>
      <c r="G192" s="275"/>
      <c r="H192" s="258"/>
    </row>
    <row r="193" spans="1:8" ht="15">
      <c r="A193" s="1099" t="s">
        <v>4</v>
      </c>
      <c r="B193" s="1101" t="s">
        <v>114</v>
      </c>
      <c r="C193" s="735" t="s">
        <v>6</v>
      </c>
      <c r="D193" s="735" t="s">
        <v>7</v>
      </c>
      <c r="E193" s="735" t="s">
        <v>8</v>
      </c>
      <c r="F193" s="735" t="s">
        <v>9</v>
      </c>
      <c r="G193" s="735" t="s">
        <v>10</v>
      </c>
      <c r="H193" s="735" t="s">
        <v>11</v>
      </c>
    </row>
    <row r="194" spans="1:8" ht="15">
      <c r="A194" s="1100"/>
      <c r="B194" s="1102"/>
      <c r="C194" s="736" t="s">
        <v>268</v>
      </c>
      <c r="D194" s="736" t="s">
        <v>12</v>
      </c>
      <c r="E194" s="736" t="s">
        <v>13</v>
      </c>
      <c r="F194" s="737" t="s">
        <v>391</v>
      </c>
      <c r="G194" s="737" t="s">
        <v>391</v>
      </c>
      <c r="H194" s="736" t="s">
        <v>15</v>
      </c>
    </row>
    <row r="195" spans="1:8" ht="15.75">
      <c r="A195" s="310">
        <v>1</v>
      </c>
      <c r="B195" s="400" t="s">
        <v>20</v>
      </c>
      <c r="C195" s="494">
        <v>1</v>
      </c>
      <c r="D195" s="524">
        <v>858.8</v>
      </c>
      <c r="E195" s="528">
        <v>1493923</v>
      </c>
      <c r="F195" s="496">
        <v>243509482</v>
      </c>
      <c r="G195" s="496">
        <v>96741000</v>
      </c>
      <c r="H195" s="494">
        <v>103</v>
      </c>
    </row>
    <row r="196" spans="1:8" ht="15.75">
      <c r="A196" s="310">
        <v>2</v>
      </c>
      <c r="B196" s="400" t="s">
        <v>37</v>
      </c>
      <c r="C196" s="494">
        <v>1</v>
      </c>
      <c r="D196" s="365">
        <v>65.82</v>
      </c>
      <c r="E196" s="496">
        <v>1274549</v>
      </c>
      <c r="F196" s="496">
        <v>140200390</v>
      </c>
      <c r="G196" s="496">
        <v>82345000</v>
      </c>
      <c r="H196" s="494">
        <v>800</v>
      </c>
    </row>
    <row r="197" spans="1:8" ht="15.75">
      <c r="A197" s="310">
        <v>3</v>
      </c>
      <c r="B197" s="400" t="s">
        <v>68</v>
      </c>
      <c r="C197" s="486">
        <v>2</v>
      </c>
      <c r="D197" s="365">
        <v>1359.492</v>
      </c>
      <c r="E197" s="530">
        <v>6096799</v>
      </c>
      <c r="F197" s="530">
        <v>1347392579</v>
      </c>
      <c r="G197" s="530">
        <v>388520167</v>
      </c>
      <c r="H197" s="486">
        <v>163</v>
      </c>
    </row>
    <row r="198" spans="1:8" ht="15.75">
      <c r="A198" s="310">
        <v>4</v>
      </c>
      <c r="B198" s="400" t="s">
        <v>71</v>
      </c>
      <c r="C198" s="494">
        <v>4</v>
      </c>
      <c r="D198" s="524">
        <v>1232.87</v>
      </c>
      <c r="E198" s="496">
        <v>755378</v>
      </c>
      <c r="F198" s="496">
        <v>158629461</v>
      </c>
      <c r="G198" s="496">
        <v>53300000</v>
      </c>
      <c r="H198" s="496">
        <v>45</v>
      </c>
    </row>
    <row r="199" spans="1:8" ht="15.75">
      <c r="A199" s="310">
        <v>5</v>
      </c>
      <c r="B199" s="400" t="s">
        <v>83</v>
      </c>
      <c r="C199" s="530">
        <v>1</v>
      </c>
      <c r="D199" s="486">
        <v>1516.8</v>
      </c>
      <c r="E199" s="486">
        <v>919180</v>
      </c>
      <c r="F199" s="486">
        <v>156260770</v>
      </c>
      <c r="G199" s="486">
        <v>57908394</v>
      </c>
      <c r="H199" s="486">
        <v>73</v>
      </c>
    </row>
    <row r="200" spans="1:8" ht="15.75">
      <c r="A200" s="310">
        <v>6</v>
      </c>
      <c r="B200" s="400" t="s">
        <v>84</v>
      </c>
      <c r="C200" s="365">
        <v>2</v>
      </c>
      <c r="D200" s="529">
        <v>581.15</v>
      </c>
      <c r="E200" s="496">
        <v>4220668</v>
      </c>
      <c r="F200" s="496">
        <v>1477233800</v>
      </c>
      <c r="G200" s="496">
        <v>274982000</v>
      </c>
      <c r="H200" s="494">
        <v>4500</v>
      </c>
    </row>
    <row r="201" spans="1:8" ht="15.75">
      <c r="A201" s="310">
        <v>7</v>
      </c>
      <c r="B201" s="400" t="s">
        <v>86</v>
      </c>
      <c r="C201" s="534">
        <v>3</v>
      </c>
      <c r="D201" s="535">
        <v>348.719</v>
      </c>
      <c r="E201" s="534">
        <v>88809.52</v>
      </c>
      <c r="F201" s="534">
        <v>15585714</v>
      </c>
      <c r="G201" s="536">
        <v>5595000</v>
      </c>
      <c r="H201" s="534">
        <v>94</v>
      </c>
    </row>
    <row r="202" spans="1:8" ht="15.75">
      <c r="A202" s="310">
        <v>8</v>
      </c>
      <c r="B202" s="400" t="s">
        <v>88</v>
      </c>
      <c r="C202" s="494">
        <v>7</v>
      </c>
      <c r="D202" s="365">
        <v>3612.605</v>
      </c>
      <c r="E202" s="496">
        <v>6220948</v>
      </c>
      <c r="F202" s="496">
        <v>933142200</v>
      </c>
      <c r="G202" s="496">
        <v>393166046</v>
      </c>
      <c r="H202" s="494">
        <v>335</v>
      </c>
    </row>
    <row r="203" spans="1:8" ht="15.75">
      <c r="A203" s="310">
        <v>9</v>
      </c>
      <c r="B203" s="400" t="s">
        <v>93</v>
      </c>
      <c r="C203" s="494">
        <v>1</v>
      </c>
      <c r="D203" s="524">
        <v>895.42</v>
      </c>
      <c r="E203" s="496">
        <v>2260827</v>
      </c>
      <c r="F203" s="496">
        <v>413731341</v>
      </c>
      <c r="G203" s="496">
        <v>139549000</v>
      </c>
      <c r="H203" s="494">
        <v>63</v>
      </c>
    </row>
    <row r="204" spans="1:8" ht="15.75">
      <c r="A204" s="310">
        <v>10</v>
      </c>
      <c r="B204" s="400" t="s">
        <v>97</v>
      </c>
      <c r="C204" s="365">
        <v>3</v>
      </c>
      <c r="D204" s="494">
        <v>1824.39</v>
      </c>
      <c r="E204" s="365"/>
      <c r="F204" s="496"/>
      <c r="G204" s="533">
        <v>1932000</v>
      </c>
      <c r="H204" s="494">
        <v>5</v>
      </c>
    </row>
    <row r="205" spans="1:8" ht="15.75">
      <c r="A205" s="310">
        <v>11</v>
      </c>
      <c r="B205" s="400" t="s">
        <v>102</v>
      </c>
      <c r="C205" s="494">
        <v>3</v>
      </c>
      <c r="D205" s="494">
        <v>1115.3</v>
      </c>
      <c r="E205" s="496">
        <v>12553460</v>
      </c>
      <c r="F205" s="496">
        <v>1380880600</v>
      </c>
      <c r="G205" s="496">
        <v>828900000</v>
      </c>
      <c r="H205" s="494">
        <v>800</v>
      </c>
    </row>
    <row r="206" spans="1:8" ht="15.75">
      <c r="A206" s="310">
        <v>12</v>
      </c>
      <c r="B206" s="400" t="s">
        <v>104</v>
      </c>
      <c r="C206" s="494">
        <v>3</v>
      </c>
      <c r="D206" s="365">
        <v>1736.53</v>
      </c>
      <c r="E206" s="496">
        <v>12159122</v>
      </c>
      <c r="F206" s="496">
        <v>3039780500</v>
      </c>
      <c r="G206" s="496">
        <v>839053000</v>
      </c>
      <c r="H206" s="494">
        <v>212</v>
      </c>
    </row>
    <row r="207" spans="1:8" ht="15.75">
      <c r="A207" s="310">
        <v>13</v>
      </c>
      <c r="B207" s="400" t="s">
        <v>108</v>
      </c>
      <c r="C207" s="494">
        <v>2</v>
      </c>
      <c r="D207" s="494">
        <v>918.274</v>
      </c>
      <c r="E207" s="496">
        <v>3380</v>
      </c>
      <c r="F207" s="494"/>
      <c r="G207" s="496">
        <v>144000</v>
      </c>
      <c r="H207" s="494"/>
    </row>
    <row r="208" spans="1:8" ht="15.75">
      <c r="A208" s="310">
        <v>14</v>
      </c>
      <c r="B208" s="400" t="s">
        <v>75</v>
      </c>
      <c r="C208" s="494">
        <v>2</v>
      </c>
      <c r="D208" s="524">
        <v>1998</v>
      </c>
      <c r="E208" s="496">
        <v>2242853</v>
      </c>
      <c r="F208" s="496">
        <v>1211140512</v>
      </c>
      <c r="G208" s="496">
        <v>157841000</v>
      </c>
      <c r="H208" s="494">
        <v>400</v>
      </c>
    </row>
    <row r="209" spans="1:8" ht="15.75">
      <c r="A209" s="1103" t="s">
        <v>129</v>
      </c>
      <c r="B209" s="1104"/>
      <c r="C209" s="738">
        <f aca="true" t="shared" si="19" ref="C209:H209">SUM(C195:C208)</f>
        <v>35</v>
      </c>
      <c r="D209" s="739">
        <f t="shared" si="19"/>
        <v>18064.17</v>
      </c>
      <c r="E209" s="738">
        <f t="shared" si="19"/>
        <v>50289896.519999996</v>
      </c>
      <c r="F209" s="738">
        <f t="shared" si="19"/>
        <v>10517487349</v>
      </c>
      <c r="G209" s="738">
        <f t="shared" si="19"/>
        <v>3319976607</v>
      </c>
      <c r="H209" s="738">
        <f t="shared" si="19"/>
        <v>7593</v>
      </c>
    </row>
    <row r="210" spans="1:8" ht="18.75">
      <c r="A210" s="34"/>
      <c r="B210" s="414"/>
      <c r="C210" s="258"/>
      <c r="D210" s="415" t="s">
        <v>43</v>
      </c>
      <c r="E210" s="275"/>
      <c r="F210" s="275"/>
      <c r="G210" s="275"/>
      <c r="H210" s="258"/>
    </row>
    <row r="211" spans="1:8" ht="15">
      <c r="A211" s="1099" t="s">
        <v>4</v>
      </c>
      <c r="B211" s="1101" t="s">
        <v>114</v>
      </c>
      <c r="C211" s="735" t="s">
        <v>6</v>
      </c>
      <c r="D211" s="735" t="s">
        <v>7</v>
      </c>
      <c r="E211" s="735" t="s">
        <v>8</v>
      </c>
      <c r="F211" s="735" t="s">
        <v>9</v>
      </c>
      <c r="G211" s="735" t="s">
        <v>10</v>
      </c>
      <c r="H211" s="735" t="s">
        <v>11</v>
      </c>
    </row>
    <row r="212" spans="1:8" ht="15">
      <c r="A212" s="1100"/>
      <c r="B212" s="1102"/>
      <c r="C212" s="736" t="s">
        <v>268</v>
      </c>
      <c r="D212" s="736" t="s">
        <v>12</v>
      </c>
      <c r="E212" s="736" t="s">
        <v>13</v>
      </c>
      <c r="F212" s="737" t="s">
        <v>391</v>
      </c>
      <c r="G212" s="737" t="s">
        <v>391</v>
      </c>
      <c r="H212" s="736" t="s">
        <v>15</v>
      </c>
    </row>
    <row r="213" spans="1:8" ht="15.75">
      <c r="A213" s="310">
        <v>1</v>
      </c>
      <c r="B213" s="400" t="s">
        <v>42</v>
      </c>
      <c r="C213" s="494">
        <v>3</v>
      </c>
      <c r="D213" s="524">
        <v>7391.7135</v>
      </c>
      <c r="E213" s="496">
        <v>4771286</v>
      </c>
      <c r="F213" s="496">
        <v>3211075828</v>
      </c>
      <c r="G213" s="496">
        <v>347946000</v>
      </c>
      <c r="H213" s="494">
        <v>494</v>
      </c>
    </row>
    <row r="214" spans="1:8" ht="15.75">
      <c r="A214" s="310">
        <v>2</v>
      </c>
      <c r="B214" s="400" t="s">
        <v>65</v>
      </c>
      <c r="C214" s="494">
        <v>3</v>
      </c>
      <c r="D214" s="524">
        <v>3012.94</v>
      </c>
      <c r="E214" s="496">
        <v>2314912</v>
      </c>
      <c r="F214" s="496">
        <v>3472368000</v>
      </c>
      <c r="G214" s="496">
        <v>128416717</v>
      </c>
      <c r="H214" s="494">
        <v>150</v>
      </c>
    </row>
    <row r="215" spans="1:8" ht="15.75">
      <c r="A215" s="310">
        <v>3</v>
      </c>
      <c r="B215" s="400" t="s">
        <v>71</v>
      </c>
      <c r="C215" s="494"/>
      <c r="D215" s="524"/>
      <c r="E215" s="496"/>
      <c r="F215" s="496"/>
      <c r="G215" s="496"/>
      <c r="H215" s="494"/>
    </row>
    <row r="216" spans="1:8" ht="15.75">
      <c r="A216" s="310">
        <v>4</v>
      </c>
      <c r="B216" s="400" t="s">
        <v>86</v>
      </c>
      <c r="C216" s="534">
        <v>1</v>
      </c>
      <c r="D216" s="535">
        <v>1065.35</v>
      </c>
      <c r="E216" s="534">
        <v>278845</v>
      </c>
      <c r="F216" s="534">
        <v>83653500</v>
      </c>
      <c r="G216" s="536">
        <v>26500000</v>
      </c>
      <c r="H216" s="534">
        <v>55</v>
      </c>
    </row>
    <row r="217" spans="1:8" ht="15.75">
      <c r="A217" s="1103" t="s">
        <v>129</v>
      </c>
      <c r="B217" s="1104"/>
      <c r="C217" s="738">
        <f aca="true" t="shared" si="20" ref="C217:H217">SUM(C213:C216)</f>
        <v>7</v>
      </c>
      <c r="D217" s="739">
        <f t="shared" si="20"/>
        <v>11470.0035</v>
      </c>
      <c r="E217" s="738">
        <f t="shared" si="20"/>
        <v>7365043</v>
      </c>
      <c r="F217" s="738">
        <f t="shared" si="20"/>
        <v>6767097328</v>
      </c>
      <c r="G217" s="738">
        <f t="shared" si="20"/>
        <v>502862717</v>
      </c>
      <c r="H217" s="738">
        <f t="shared" si="20"/>
        <v>699</v>
      </c>
    </row>
    <row r="218" spans="1:8" ht="18.75">
      <c r="A218" s="34"/>
      <c r="B218" s="414"/>
      <c r="C218" s="258"/>
      <c r="D218" s="415" t="s">
        <v>24</v>
      </c>
      <c r="E218" s="275"/>
      <c r="F218" s="275"/>
      <c r="G218" s="275"/>
      <c r="H218" s="258"/>
    </row>
    <row r="219" spans="1:8" ht="15">
      <c r="A219" s="1099" t="s">
        <v>4</v>
      </c>
      <c r="B219" s="1101" t="s">
        <v>114</v>
      </c>
      <c r="C219" s="735" t="s">
        <v>6</v>
      </c>
      <c r="D219" s="735" t="s">
        <v>7</v>
      </c>
      <c r="E219" s="735" t="s">
        <v>8</v>
      </c>
      <c r="F219" s="735" t="s">
        <v>9</v>
      </c>
      <c r="G219" s="735" t="s">
        <v>10</v>
      </c>
      <c r="H219" s="735" t="s">
        <v>11</v>
      </c>
    </row>
    <row r="220" spans="1:8" ht="15">
      <c r="A220" s="1100"/>
      <c r="B220" s="1102"/>
      <c r="C220" s="736" t="s">
        <v>268</v>
      </c>
      <c r="D220" s="736" t="s">
        <v>12</v>
      </c>
      <c r="E220" s="736" t="s">
        <v>13</v>
      </c>
      <c r="F220" s="737" t="s">
        <v>391</v>
      </c>
      <c r="G220" s="737" t="s">
        <v>391</v>
      </c>
      <c r="H220" s="736" t="s">
        <v>15</v>
      </c>
    </row>
    <row r="221" spans="1:8" ht="15.75">
      <c r="A221" s="310">
        <v>1</v>
      </c>
      <c r="B221" s="478" t="s">
        <v>20</v>
      </c>
      <c r="C221" s="494">
        <v>2</v>
      </c>
      <c r="D221" s="524">
        <v>9.4</v>
      </c>
      <c r="E221" s="477"/>
      <c r="F221" s="477"/>
      <c r="G221" s="477"/>
      <c r="H221" s="475"/>
    </row>
    <row r="222" spans="1:8" ht="15.75">
      <c r="A222" s="310">
        <v>2</v>
      </c>
      <c r="B222" s="480" t="s">
        <v>104</v>
      </c>
      <c r="C222" s="494">
        <v>1</v>
      </c>
      <c r="D222" s="529">
        <v>5</v>
      </c>
      <c r="E222" s="477"/>
      <c r="F222" s="477"/>
      <c r="G222" s="477"/>
      <c r="H222" s="475"/>
    </row>
    <row r="223" spans="1:8" ht="15.75">
      <c r="A223" s="1103" t="s">
        <v>129</v>
      </c>
      <c r="B223" s="1104"/>
      <c r="C223" s="738">
        <f aca="true" t="shared" si="21" ref="C223:H223">C221+C222</f>
        <v>3</v>
      </c>
      <c r="D223" s="739">
        <f t="shared" si="21"/>
        <v>14.4</v>
      </c>
      <c r="E223" s="738">
        <f t="shared" si="21"/>
        <v>0</v>
      </c>
      <c r="F223" s="739">
        <f t="shared" si="21"/>
        <v>0</v>
      </c>
      <c r="G223" s="738">
        <f t="shared" si="21"/>
        <v>0</v>
      </c>
      <c r="H223" s="739">
        <f t="shared" si="21"/>
        <v>0</v>
      </c>
    </row>
    <row r="224" spans="1:8" ht="18.75">
      <c r="A224" s="34"/>
      <c r="B224" s="414"/>
      <c r="C224" s="258"/>
      <c r="D224" s="415" t="s">
        <v>270</v>
      </c>
      <c r="E224" s="275"/>
      <c r="F224" s="275"/>
      <c r="G224" s="275"/>
      <c r="H224" s="258"/>
    </row>
    <row r="225" spans="1:8" ht="15">
      <c r="A225" s="1099" t="s">
        <v>4</v>
      </c>
      <c r="B225" s="1101" t="s">
        <v>114</v>
      </c>
      <c r="C225" s="735" t="s">
        <v>6</v>
      </c>
      <c r="D225" s="735" t="s">
        <v>7</v>
      </c>
      <c r="E225" s="735" t="s">
        <v>8</v>
      </c>
      <c r="F225" s="735" t="s">
        <v>9</v>
      </c>
      <c r="G225" s="735" t="s">
        <v>10</v>
      </c>
      <c r="H225" s="735" t="s">
        <v>11</v>
      </c>
    </row>
    <row r="226" spans="1:8" ht="15">
      <c r="A226" s="1100"/>
      <c r="B226" s="1102"/>
      <c r="C226" s="736" t="s">
        <v>268</v>
      </c>
      <c r="D226" s="736" t="s">
        <v>12</v>
      </c>
      <c r="E226" s="736" t="s">
        <v>13</v>
      </c>
      <c r="F226" s="737" t="s">
        <v>391</v>
      </c>
      <c r="G226" s="737" t="s">
        <v>391</v>
      </c>
      <c r="H226" s="736" t="s">
        <v>15</v>
      </c>
    </row>
    <row r="227" spans="1:8" ht="15.75">
      <c r="A227" s="310">
        <v>1</v>
      </c>
      <c r="B227" s="478" t="s">
        <v>20</v>
      </c>
      <c r="C227" s="494">
        <v>7</v>
      </c>
      <c r="D227" s="524">
        <v>29.4</v>
      </c>
      <c r="E227" s="528">
        <v>4300</v>
      </c>
      <c r="F227" s="496">
        <v>7740000</v>
      </c>
      <c r="G227" s="496">
        <v>50000</v>
      </c>
      <c r="H227" s="494">
        <v>45</v>
      </c>
    </row>
    <row r="228" spans="1:8" ht="15.75">
      <c r="A228" s="310">
        <v>2</v>
      </c>
      <c r="B228" s="478" t="s">
        <v>54</v>
      </c>
      <c r="C228" s="494">
        <v>2</v>
      </c>
      <c r="D228" s="365">
        <v>33.88</v>
      </c>
      <c r="E228" s="494">
        <v>2884</v>
      </c>
      <c r="F228" s="495">
        <v>2884000</v>
      </c>
      <c r="G228" s="496">
        <v>705872</v>
      </c>
      <c r="H228" s="494">
        <v>50</v>
      </c>
    </row>
    <row r="229" spans="1:8" ht="15.75">
      <c r="A229" s="310">
        <v>3</v>
      </c>
      <c r="B229" s="480" t="s">
        <v>73</v>
      </c>
      <c r="C229" s="494">
        <v>5</v>
      </c>
      <c r="D229" s="365">
        <v>53.13</v>
      </c>
      <c r="E229" s="496"/>
      <c r="F229" s="496"/>
      <c r="G229" s="496">
        <v>35000</v>
      </c>
      <c r="H229" s="494">
        <v>5</v>
      </c>
    </row>
    <row r="230" spans="1:8" ht="15.75">
      <c r="A230" s="1103" t="s">
        <v>129</v>
      </c>
      <c r="B230" s="1104"/>
      <c r="C230" s="738">
        <f aca="true" t="shared" si="22" ref="C230:H230">SUM(C227:C229)</f>
        <v>14</v>
      </c>
      <c r="D230" s="739">
        <f t="shared" si="22"/>
        <v>116.41</v>
      </c>
      <c r="E230" s="738">
        <f t="shared" si="22"/>
        <v>7184</v>
      </c>
      <c r="F230" s="738">
        <f t="shared" si="22"/>
        <v>10624000</v>
      </c>
      <c r="G230" s="738">
        <f>SUM(G227:G229)</f>
        <v>790872</v>
      </c>
      <c r="H230" s="738">
        <f t="shared" si="22"/>
        <v>100</v>
      </c>
    </row>
    <row r="231" spans="1:8" ht="15.75">
      <c r="A231" s="1079"/>
      <c r="B231" s="1079"/>
      <c r="C231" s="1080"/>
      <c r="D231" s="1081"/>
      <c r="E231" s="1080"/>
      <c r="F231" s="1080"/>
      <c r="G231" s="1080"/>
      <c r="H231" s="1080"/>
    </row>
    <row r="232" spans="1:8" ht="18.75">
      <c r="A232" s="34"/>
      <c r="B232" s="414"/>
      <c r="C232" s="258"/>
      <c r="D232" s="415" t="s">
        <v>271</v>
      </c>
      <c r="E232" s="275"/>
      <c r="F232" s="275"/>
      <c r="G232" s="275"/>
      <c r="H232" s="258"/>
    </row>
    <row r="233" spans="1:8" ht="15">
      <c r="A233" s="1099" t="s">
        <v>4</v>
      </c>
      <c r="B233" s="1101" t="s">
        <v>114</v>
      </c>
      <c r="C233" s="735" t="s">
        <v>6</v>
      </c>
      <c r="D233" s="735" t="s">
        <v>7</v>
      </c>
      <c r="E233" s="735" t="s">
        <v>8</v>
      </c>
      <c r="F233" s="735" t="s">
        <v>9</v>
      </c>
      <c r="G233" s="735" t="s">
        <v>10</v>
      </c>
      <c r="H233" s="735" t="s">
        <v>11</v>
      </c>
    </row>
    <row r="234" spans="1:8" ht="15">
      <c r="A234" s="1100"/>
      <c r="B234" s="1102"/>
      <c r="C234" s="736" t="s">
        <v>268</v>
      </c>
      <c r="D234" s="736" t="s">
        <v>12</v>
      </c>
      <c r="E234" s="736" t="s">
        <v>13</v>
      </c>
      <c r="F234" s="737" t="s">
        <v>391</v>
      </c>
      <c r="G234" s="737" t="s">
        <v>391</v>
      </c>
      <c r="H234" s="736" t="s">
        <v>15</v>
      </c>
    </row>
    <row r="235" spans="1:8" ht="15.75">
      <c r="A235" s="310">
        <v>1</v>
      </c>
      <c r="B235" s="400" t="s">
        <v>75</v>
      </c>
      <c r="C235" s="494">
        <v>1</v>
      </c>
      <c r="D235" s="524">
        <v>4.9</v>
      </c>
      <c r="E235" s="496">
        <v>650</v>
      </c>
      <c r="F235" s="496"/>
      <c r="G235" s="496">
        <v>11000</v>
      </c>
      <c r="H235" s="494">
        <v>5</v>
      </c>
    </row>
    <row r="236" spans="1:8" ht="15.75">
      <c r="A236" s="310">
        <v>2</v>
      </c>
      <c r="B236" s="400" t="s">
        <v>63</v>
      </c>
      <c r="C236" s="494">
        <v>1</v>
      </c>
      <c r="D236" s="524">
        <v>4</v>
      </c>
      <c r="E236" s="496">
        <v>3510</v>
      </c>
      <c r="F236" s="496">
        <v>877500</v>
      </c>
      <c r="G236" s="496">
        <v>50000</v>
      </c>
      <c r="H236" s="494">
        <v>4</v>
      </c>
    </row>
    <row r="237" spans="1:8" ht="15.75">
      <c r="A237" s="310">
        <v>3</v>
      </c>
      <c r="B237" s="400" t="s">
        <v>108</v>
      </c>
      <c r="C237" s="494">
        <v>5</v>
      </c>
      <c r="D237" s="494">
        <v>168.2</v>
      </c>
      <c r="E237" s="524">
        <v>49250</v>
      </c>
      <c r="F237" s="496">
        <v>17237500</v>
      </c>
      <c r="G237" s="545">
        <v>1035000</v>
      </c>
      <c r="H237" s="494">
        <v>50</v>
      </c>
    </row>
    <row r="238" spans="1:8" ht="15.75">
      <c r="A238" s="310">
        <v>4</v>
      </c>
      <c r="B238" s="400" t="s">
        <v>49</v>
      </c>
      <c r="C238" s="541">
        <v>2</v>
      </c>
      <c r="D238" s="542">
        <v>9.9</v>
      </c>
      <c r="E238" s="546">
        <v>2339.89</v>
      </c>
      <c r="F238" s="547">
        <v>472658</v>
      </c>
      <c r="G238" s="541">
        <v>65517</v>
      </c>
      <c r="H238" s="541">
        <v>10</v>
      </c>
    </row>
    <row r="239" spans="1:8" ht="15.75">
      <c r="A239" s="310">
        <v>5</v>
      </c>
      <c r="B239" s="400" t="s">
        <v>54</v>
      </c>
      <c r="C239" s="494">
        <v>5</v>
      </c>
      <c r="D239" s="365">
        <v>22.14</v>
      </c>
      <c r="E239" s="494">
        <v>101575</v>
      </c>
      <c r="F239" s="496">
        <v>20315000</v>
      </c>
      <c r="G239" s="496">
        <v>1561205</v>
      </c>
      <c r="H239" s="494">
        <v>47</v>
      </c>
    </row>
    <row r="240" spans="1:8" ht="15.75">
      <c r="A240" s="310">
        <v>6</v>
      </c>
      <c r="B240" s="400" t="s">
        <v>68</v>
      </c>
      <c r="C240" s="494">
        <v>21</v>
      </c>
      <c r="D240" s="365">
        <v>458.8559</v>
      </c>
      <c r="E240" s="530">
        <v>994800</v>
      </c>
      <c r="F240" s="530">
        <v>248700000</v>
      </c>
      <c r="G240" s="530">
        <v>21384015</v>
      </c>
      <c r="H240" s="486">
        <v>240</v>
      </c>
    </row>
    <row r="241" spans="1:8" ht="15.75">
      <c r="A241" s="310">
        <v>7</v>
      </c>
      <c r="B241" s="400" t="s">
        <v>73</v>
      </c>
      <c r="C241" s="494">
        <v>1</v>
      </c>
      <c r="D241" s="365">
        <v>5</v>
      </c>
      <c r="E241" s="496"/>
      <c r="F241" s="496"/>
      <c r="G241" s="496"/>
      <c r="H241" s="494"/>
    </row>
    <row r="242" spans="1:8" ht="15.75">
      <c r="A242" s="310">
        <v>8</v>
      </c>
      <c r="B242" s="400" t="s">
        <v>88</v>
      </c>
      <c r="C242" s="494">
        <v>15</v>
      </c>
      <c r="D242" s="365">
        <v>67.27</v>
      </c>
      <c r="E242" s="496">
        <v>159167</v>
      </c>
      <c r="F242" s="496">
        <v>12733360</v>
      </c>
      <c r="G242" s="496">
        <v>20424497</v>
      </c>
      <c r="H242" s="494">
        <v>60</v>
      </c>
    </row>
    <row r="243" spans="1:8" ht="15.75">
      <c r="A243" s="310">
        <v>9</v>
      </c>
      <c r="B243" s="400" t="s">
        <v>264</v>
      </c>
      <c r="C243" s="494">
        <v>19</v>
      </c>
      <c r="D243" s="524">
        <v>686.42</v>
      </c>
      <c r="E243" s="496">
        <v>630189</v>
      </c>
      <c r="F243" s="496">
        <v>75622680</v>
      </c>
      <c r="G243" s="496">
        <v>19356000</v>
      </c>
      <c r="H243" s="494">
        <v>339</v>
      </c>
    </row>
    <row r="244" spans="1:8" ht="15.75">
      <c r="A244" s="310">
        <v>10</v>
      </c>
      <c r="B244" s="400" t="s">
        <v>97</v>
      </c>
      <c r="C244" s="365">
        <v>5</v>
      </c>
      <c r="D244" s="494">
        <v>101.5873</v>
      </c>
      <c r="E244" s="365">
        <v>6481</v>
      </c>
      <c r="F244" s="496"/>
      <c r="G244" s="533">
        <v>104000</v>
      </c>
      <c r="H244" s="494">
        <v>5</v>
      </c>
    </row>
    <row r="245" spans="1:8" ht="15.75">
      <c r="A245" s="1103" t="s">
        <v>129</v>
      </c>
      <c r="B245" s="1104"/>
      <c r="C245" s="738">
        <f aca="true" t="shared" si="23" ref="C245:H245">SUM(C235:C244)</f>
        <v>75</v>
      </c>
      <c r="D245" s="739">
        <f t="shared" si="23"/>
        <v>1528.2731999999999</v>
      </c>
      <c r="E245" s="738">
        <f t="shared" si="23"/>
        <v>1947961.8900000001</v>
      </c>
      <c r="F245" s="738">
        <f t="shared" si="23"/>
        <v>375958698</v>
      </c>
      <c r="G245" s="738">
        <f t="shared" si="23"/>
        <v>63991234</v>
      </c>
      <c r="H245" s="738">
        <f t="shared" si="23"/>
        <v>760</v>
      </c>
    </row>
    <row r="246" spans="1:8" ht="18.75">
      <c r="A246" s="34"/>
      <c r="B246" s="414"/>
      <c r="C246" s="258"/>
      <c r="D246" s="415" t="s">
        <v>367</v>
      </c>
      <c r="E246" s="275"/>
      <c r="F246" s="275"/>
      <c r="G246" s="275"/>
      <c r="H246" s="258"/>
    </row>
    <row r="247" spans="1:8" ht="15">
      <c r="A247" s="1099" t="s">
        <v>4</v>
      </c>
      <c r="B247" s="1101" t="s">
        <v>114</v>
      </c>
      <c r="C247" s="735" t="s">
        <v>6</v>
      </c>
      <c r="D247" s="735" t="s">
        <v>7</v>
      </c>
      <c r="E247" s="735" t="s">
        <v>8</v>
      </c>
      <c r="F247" s="735" t="s">
        <v>9</v>
      </c>
      <c r="G247" s="735" t="s">
        <v>10</v>
      </c>
      <c r="H247" s="735" t="s">
        <v>11</v>
      </c>
    </row>
    <row r="248" spans="1:8" ht="15">
      <c r="A248" s="1100"/>
      <c r="B248" s="1102"/>
      <c r="C248" s="736" t="s">
        <v>268</v>
      </c>
      <c r="D248" s="736" t="s">
        <v>12</v>
      </c>
      <c r="E248" s="736" t="s">
        <v>13</v>
      </c>
      <c r="F248" s="737" t="s">
        <v>391</v>
      </c>
      <c r="G248" s="737" t="s">
        <v>391</v>
      </c>
      <c r="H248" s="736" t="s">
        <v>15</v>
      </c>
    </row>
    <row r="249" spans="1:8" ht="15.75">
      <c r="A249" s="310">
        <v>1</v>
      </c>
      <c r="B249" s="478" t="s">
        <v>90</v>
      </c>
      <c r="C249" s="530"/>
      <c r="D249" s="538"/>
      <c r="E249" s="530"/>
      <c r="F249" s="530"/>
      <c r="G249" s="530"/>
      <c r="H249" s="494"/>
    </row>
    <row r="250" spans="1:8" ht="15.75">
      <c r="A250" s="310">
        <v>2</v>
      </c>
      <c r="B250" s="478" t="s">
        <v>108</v>
      </c>
      <c r="C250" s="494">
        <v>6</v>
      </c>
      <c r="D250" s="494">
        <v>196.354</v>
      </c>
      <c r="E250" s="496">
        <v>21850</v>
      </c>
      <c r="F250" s="496">
        <v>4588500</v>
      </c>
      <c r="G250" s="525">
        <v>874000</v>
      </c>
      <c r="H250" s="494">
        <v>85</v>
      </c>
    </row>
    <row r="251" spans="1:8" ht="15.75">
      <c r="A251" s="310">
        <v>3</v>
      </c>
      <c r="B251" s="478" t="s">
        <v>32</v>
      </c>
      <c r="C251" s="494">
        <v>1</v>
      </c>
      <c r="D251" s="365">
        <v>20</v>
      </c>
      <c r="E251" s="496"/>
      <c r="F251" s="496"/>
      <c r="G251" s="496">
        <v>35750</v>
      </c>
      <c r="H251" s="494"/>
    </row>
    <row r="252" spans="1:8" ht="15.75">
      <c r="A252" s="1103" t="s">
        <v>129</v>
      </c>
      <c r="B252" s="1104"/>
      <c r="C252" s="738">
        <f aca="true" t="shared" si="24" ref="C252:H252">SUM(C249:C251)</f>
        <v>7</v>
      </c>
      <c r="D252" s="739">
        <f t="shared" si="24"/>
        <v>216.354</v>
      </c>
      <c r="E252" s="738">
        <f t="shared" si="24"/>
        <v>21850</v>
      </c>
      <c r="F252" s="738">
        <f t="shared" si="24"/>
        <v>4588500</v>
      </c>
      <c r="G252" s="738">
        <f t="shared" si="24"/>
        <v>909750</v>
      </c>
      <c r="H252" s="738">
        <f t="shared" si="24"/>
        <v>85</v>
      </c>
    </row>
    <row r="253" spans="1:8" ht="18.75">
      <c r="A253" s="34"/>
      <c r="B253" s="414"/>
      <c r="C253" s="258"/>
      <c r="D253" s="415" t="s">
        <v>17</v>
      </c>
      <c r="E253" s="275"/>
      <c r="F253" s="275"/>
      <c r="G253" s="275"/>
      <c r="H253" s="258"/>
    </row>
    <row r="254" spans="1:8" ht="15">
      <c r="A254" s="1099" t="s">
        <v>4</v>
      </c>
      <c r="B254" s="1101" t="s">
        <v>114</v>
      </c>
      <c r="C254" s="735" t="s">
        <v>6</v>
      </c>
      <c r="D254" s="735" t="s">
        <v>7</v>
      </c>
      <c r="E254" s="735" t="s">
        <v>8</v>
      </c>
      <c r="F254" s="735" t="s">
        <v>9</v>
      </c>
      <c r="G254" s="735" t="s">
        <v>10</v>
      </c>
      <c r="H254" s="735" t="s">
        <v>11</v>
      </c>
    </row>
    <row r="255" spans="1:8" ht="15">
      <c r="A255" s="1100"/>
      <c r="B255" s="1102"/>
      <c r="C255" s="736" t="s">
        <v>268</v>
      </c>
      <c r="D255" s="736" t="s">
        <v>12</v>
      </c>
      <c r="E255" s="736" t="s">
        <v>13</v>
      </c>
      <c r="F255" s="737" t="s">
        <v>391</v>
      </c>
      <c r="G255" s="737" t="s">
        <v>391</v>
      </c>
      <c r="H255" s="736" t="s">
        <v>15</v>
      </c>
    </row>
    <row r="256" spans="1:8" ht="15.75">
      <c r="A256" s="310">
        <v>1</v>
      </c>
      <c r="B256" s="400" t="s">
        <v>385</v>
      </c>
      <c r="C256" s="486">
        <v>441</v>
      </c>
      <c r="D256" s="539">
        <v>2177.3703</v>
      </c>
      <c r="E256" s="496">
        <v>5059</v>
      </c>
      <c r="F256" s="496">
        <v>1517700</v>
      </c>
      <c r="G256" s="540">
        <v>33084000</v>
      </c>
      <c r="H256" s="540">
        <v>3087</v>
      </c>
    </row>
    <row r="257" spans="1:8" ht="15.75">
      <c r="A257" s="310">
        <v>2</v>
      </c>
      <c r="B257" s="400" t="s">
        <v>20</v>
      </c>
      <c r="C257" s="494">
        <v>176</v>
      </c>
      <c r="D257" s="524">
        <v>1145.088</v>
      </c>
      <c r="E257" s="528">
        <v>90203</v>
      </c>
      <c r="F257" s="496">
        <v>36081200</v>
      </c>
      <c r="G257" s="496">
        <v>13278700</v>
      </c>
      <c r="H257" s="494">
        <v>1360</v>
      </c>
    </row>
    <row r="258" spans="1:8" ht="15.75">
      <c r="A258" s="310">
        <v>3</v>
      </c>
      <c r="B258" s="400" t="s">
        <v>32</v>
      </c>
      <c r="C258" s="494"/>
      <c r="D258" s="365"/>
      <c r="E258" s="496"/>
      <c r="F258" s="496"/>
      <c r="G258" s="496"/>
      <c r="H258" s="494"/>
    </row>
    <row r="259" spans="1:8" ht="15.75">
      <c r="A259" s="310">
        <v>4</v>
      </c>
      <c r="B259" s="400" t="s">
        <v>63</v>
      </c>
      <c r="C259" s="494">
        <v>2</v>
      </c>
      <c r="D259" s="524">
        <v>9.72</v>
      </c>
      <c r="E259" s="496"/>
      <c r="F259" s="496"/>
      <c r="G259" s="496">
        <v>39000</v>
      </c>
      <c r="H259" s="494"/>
    </row>
    <row r="260" spans="1:8" ht="15.75">
      <c r="A260" s="310">
        <v>5</v>
      </c>
      <c r="B260" s="400" t="s">
        <v>68</v>
      </c>
      <c r="C260" s="494">
        <v>22</v>
      </c>
      <c r="D260" s="508">
        <v>98.9677</v>
      </c>
      <c r="E260" s="496">
        <v>23128</v>
      </c>
      <c r="F260" s="496">
        <v>11564000</v>
      </c>
      <c r="G260" s="496">
        <v>3300290</v>
      </c>
      <c r="H260" s="494">
        <v>100</v>
      </c>
    </row>
    <row r="261" spans="1:8" ht="15.75">
      <c r="A261" s="310">
        <v>6</v>
      </c>
      <c r="B261" s="400" t="s">
        <v>73</v>
      </c>
      <c r="C261" s="530">
        <v>32</v>
      </c>
      <c r="D261" s="365">
        <v>234.633</v>
      </c>
      <c r="E261" s="540">
        <v>5680</v>
      </c>
      <c r="F261" s="532">
        <v>994000</v>
      </c>
      <c r="G261" s="532">
        <v>2386000</v>
      </c>
      <c r="H261" s="486">
        <v>110</v>
      </c>
    </row>
    <row r="262" spans="1:8" ht="15.75">
      <c r="A262" s="310">
        <v>7</v>
      </c>
      <c r="B262" s="400" t="s">
        <v>81</v>
      </c>
      <c r="C262" s="494">
        <v>3</v>
      </c>
      <c r="D262" s="543">
        <v>223.59</v>
      </c>
      <c r="E262" s="496"/>
      <c r="F262" s="496"/>
      <c r="G262" s="496"/>
      <c r="H262" s="494"/>
    </row>
    <row r="263" spans="1:8" ht="15.75">
      <c r="A263" s="310">
        <v>8</v>
      </c>
      <c r="B263" s="400" t="s">
        <v>84</v>
      </c>
      <c r="C263" s="365">
        <v>8</v>
      </c>
      <c r="D263" s="529">
        <v>138.75</v>
      </c>
      <c r="E263" s="537">
        <v>200</v>
      </c>
      <c r="F263" s="496">
        <v>38200</v>
      </c>
      <c r="G263" s="496">
        <v>9000</v>
      </c>
      <c r="H263" s="494">
        <v>5</v>
      </c>
    </row>
    <row r="264" spans="1:8" ht="15.75">
      <c r="A264" s="310">
        <v>9</v>
      </c>
      <c r="B264" s="400" t="s">
        <v>102</v>
      </c>
      <c r="C264" s="494">
        <v>14</v>
      </c>
      <c r="D264" s="494">
        <v>61.64</v>
      </c>
      <c r="E264" s="496">
        <v>6232</v>
      </c>
      <c r="F264" s="496">
        <v>1558000</v>
      </c>
      <c r="G264" s="496">
        <v>1558000</v>
      </c>
      <c r="H264" s="494">
        <v>210</v>
      </c>
    </row>
    <row r="265" spans="1:8" ht="15.75">
      <c r="A265" s="310">
        <v>10</v>
      </c>
      <c r="B265" s="400" t="s">
        <v>105</v>
      </c>
      <c r="C265" s="494">
        <v>54</v>
      </c>
      <c r="D265" s="524">
        <v>774.9639</v>
      </c>
      <c r="E265" s="496">
        <v>154900</v>
      </c>
      <c r="F265" s="496">
        <v>30330000</v>
      </c>
      <c r="G265" s="496">
        <v>6196000</v>
      </c>
      <c r="H265" s="494">
        <v>195</v>
      </c>
    </row>
    <row r="266" spans="1:8" ht="15.75">
      <c r="A266" s="310">
        <v>11</v>
      </c>
      <c r="B266" s="400" t="s">
        <v>90</v>
      </c>
      <c r="C266" s="530">
        <v>168</v>
      </c>
      <c r="D266" s="538">
        <v>2081.135</v>
      </c>
      <c r="E266" s="496">
        <v>216634</v>
      </c>
      <c r="F266" s="530">
        <v>51992160</v>
      </c>
      <c r="G266" s="530">
        <v>22865000</v>
      </c>
      <c r="H266" s="494">
        <v>1345</v>
      </c>
    </row>
    <row r="267" spans="1:8" ht="15.75">
      <c r="A267" s="310">
        <v>12</v>
      </c>
      <c r="B267" s="400" t="s">
        <v>71</v>
      </c>
      <c r="C267" s="494">
        <v>1</v>
      </c>
      <c r="D267" s="524">
        <v>4.5</v>
      </c>
      <c r="E267" s="496">
        <v>1065</v>
      </c>
      <c r="F267" s="496">
        <v>330000</v>
      </c>
      <c r="G267" s="496">
        <v>130000</v>
      </c>
      <c r="H267" s="494">
        <v>5</v>
      </c>
    </row>
    <row r="268" spans="1:8" ht="15.75">
      <c r="A268" s="310">
        <v>13</v>
      </c>
      <c r="B268" s="400" t="s">
        <v>85</v>
      </c>
      <c r="C268" s="365">
        <v>3</v>
      </c>
      <c r="D268" s="524">
        <v>14.36</v>
      </c>
      <c r="E268" s="496"/>
      <c r="F268" s="496"/>
      <c r="G268" s="496">
        <v>15000</v>
      </c>
      <c r="H268" s="494"/>
    </row>
    <row r="269" spans="1:8" ht="15.75">
      <c r="A269" s="310">
        <v>14</v>
      </c>
      <c r="B269" s="400" t="s">
        <v>88</v>
      </c>
      <c r="C269" s="494">
        <v>1</v>
      </c>
      <c r="D269" s="365">
        <v>4.75</v>
      </c>
      <c r="E269" s="496"/>
      <c r="F269" s="496"/>
      <c r="G269" s="496">
        <v>3000</v>
      </c>
      <c r="H269" s="494"/>
    </row>
    <row r="270" spans="1:8" ht="15.75">
      <c r="A270" s="310">
        <v>15</v>
      </c>
      <c r="B270" s="400" t="s">
        <v>264</v>
      </c>
      <c r="C270" s="494">
        <v>8</v>
      </c>
      <c r="D270" s="524">
        <v>32</v>
      </c>
      <c r="E270" s="496"/>
      <c r="F270" s="496"/>
      <c r="G270" s="496">
        <v>38000</v>
      </c>
      <c r="H270" s="494"/>
    </row>
    <row r="271" spans="1:8" ht="15.75">
      <c r="A271" s="310">
        <v>16</v>
      </c>
      <c r="B271" s="400" t="s">
        <v>89</v>
      </c>
      <c r="C271" s="530">
        <v>93</v>
      </c>
      <c r="D271" s="531">
        <v>435.83697</v>
      </c>
      <c r="E271" s="530">
        <v>21298</v>
      </c>
      <c r="F271" s="496">
        <v>6857956</v>
      </c>
      <c r="G271" s="530">
        <v>7043000</v>
      </c>
      <c r="H271" s="494">
        <v>494</v>
      </c>
    </row>
    <row r="272" spans="1:8" ht="15.75">
      <c r="A272" s="310">
        <v>17</v>
      </c>
      <c r="B272" s="400" t="s">
        <v>104</v>
      </c>
      <c r="C272" s="494">
        <v>36</v>
      </c>
      <c r="D272" s="529">
        <v>223.006</v>
      </c>
      <c r="E272" s="496">
        <v>48570</v>
      </c>
      <c r="F272" s="496">
        <v>14571000</v>
      </c>
      <c r="G272" s="496">
        <v>1457000</v>
      </c>
      <c r="H272" s="494">
        <v>180</v>
      </c>
    </row>
    <row r="273" spans="1:8" ht="15.75">
      <c r="A273" s="310">
        <v>18</v>
      </c>
      <c r="B273" s="400" t="s">
        <v>108</v>
      </c>
      <c r="C273" s="494">
        <v>53</v>
      </c>
      <c r="D273" s="494">
        <v>206</v>
      </c>
      <c r="E273" s="496">
        <v>120746</v>
      </c>
      <c r="F273" s="494">
        <v>26564120</v>
      </c>
      <c r="G273" s="496">
        <v>4296000</v>
      </c>
      <c r="H273" s="494">
        <v>300</v>
      </c>
    </row>
    <row r="274" spans="1:8" ht="15.75">
      <c r="A274" s="1103" t="s">
        <v>129</v>
      </c>
      <c r="B274" s="1104"/>
      <c r="C274" s="738">
        <f aca="true" t="shared" si="25" ref="C274:H274">SUM(C256:C273)</f>
        <v>1115</v>
      </c>
      <c r="D274" s="739">
        <f t="shared" si="25"/>
        <v>7866.31087</v>
      </c>
      <c r="E274" s="740">
        <f t="shared" si="25"/>
        <v>693715</v>
      </c>
      <c r="F274" s="740">
        <f t="shared" si="25"/>
        <v>182398336</v>
      </c>
      <c r="G274" s="738">
        <f t="shared" si="25"/>
        <v>95697990</v>
      </c>
      <c r="H274" s="738">
        <f t="shared" si="25"/>
        <v>7391</v>
      </c>
    </row>
    <row r="275" spans="1:8" ht="15">
      <c r="A275" s="422"/>
      <c r="B275" s="423"/>
      <c r="C275" s="424"/>
      <c r="D275" s="425"/>
      <c r="E275" s="426"/>
      <c r="F275" s="426"/>
      <c r="G275" s="426"/>
      <c r="H275" s="424"/>
    </row>
    <row r="276" spans="1:8" ht="18.75">
      <c r="A276" s="34"/>
      <c r="B276" s="414"/>
      <c r="C276" s="258"/>
      <c r="D276" s="415" t="s">
        <v>21</v>
      </c>
      <c r="E276" s="275"/>
      <c r="F276" s="275"/>
      <c r="G276" s="275"/>
      <c r="H276" s="258"/>
    </row>
    <row r="277" spans="1:8" ht="15">
      <c r="A277" s="1099" t="s">
        <v>4</v>
      </c>
      <c r="B277" s="1101" t="s">
        <v>114</v>
      </c>
      <c r="C277" s="735" t="s">
        <v>6</v>
      </c>
      <c r="D277" s="735" t="s">
        <v>7</v>
      </c>
      <c r="E277" s="735" t="s">
        <v>8</v>
      </c>
      <c r="F277" s="735" t="s">
        <v>9</v>
      </c>
      <c r="G277" s="735" t="s">
        <v>10</v>
      </c>
      <c r="H277" s="735" t="s">
        <v>11</v>
      </c>
    </row>
    <row r="278" spans="1:8" ht="15">
      <c r="A278" s="1100"/>
      <c r="B278" s="1102"/>
      <c r="C278" s="736" t="s">
        <v>268</v>
      </c>
      <c r="D278" s="736" t="s">
        <v>12</v>
      </c>
      <c r="E278" s="736" t="s">
        <v>13</v>
      </c>
      <c r="F278" s="737" t="s">
        <v>391</v>
      </c>
      <c r="G278" s="737" t="s">
        <v>391</v>
      </c>
      <c r="H278" s="736" t="s">
        <v>15</v>
      </c>
    </row>
    <row r="279" spans="1:8" ht="15.75">
      <c r="A279" s="310">
        <v>1</v>
      </c>
      <c r="B279" s="400" t="s">
        <v>20</v>
      </c>
      <c r="C279" s="494">
        <v>358</v>
      </c>
      <c r="D279" s="524">
        <v>1976.054</v>
      </c>
      <c r="E279" s="528">
        <v>371715</v>
      </c>
      <c r="F279" s="496">
        <v>130100250</v>
      </c>
      <c r="G279" s="496">
        <v>24660443</v>
      </c>
      <c r="H279" s="494">
        <v>2815</v>
      </c>
    </row>
    <row r="280" spans="1:8" ht="15.75">
      <c r="A280" s="310">
        <v>2</v>
      </c>
      <c r="B280" s="400" t="s">
        <v>32</v>
      </c>
      <c r="C280" s="494">
        <v>1</v>
      </c>
      <c r="D280" s="365">
        <v>4</v>
      </c>
      <c r="E280" s="496"/>
      <c r="F280" s="496"/>
      <c r="G280" s="496">
        <v>49974</v>
      </c>
      <c r="H280" s="494"/>
    </row>
    <row r="281" spans="1:8" ht="15.75">
      <c r="A281" s="310">
        <v>3</v>
      </c>
      <c r="B281" s="400" t="s">
        <v>54</v>
      </c>
      <c r="C281" s="494">
        <v>594</v>
      </c>
      <c r="D281" s="365">
        <v>3173.44</v>
      </c>
      <c r="E281" s="496">
        <v>590300</v>
      </c>
      <c r="F281" s="496">
        <v>177090000</v>
      </c>
      <c r="G281" s="496">
        <v>47242466</v>
      </c>
      <c r="H281" s="494">
        <v>2555</v>
      </c>
    </row>
    <row r="282" spans="1:8" ht="15.75">
      <c r="A282" s="310">
        <v>4</v>
      </c>
      <c r="B282" s="400" t="s">
        <v>68</v>
      </c>
      <c r="C282" s="494"/>
      <c r="D282" s="508"/>
      <c r="E282" s="496"/>
      <c r="F282" s="496"/>
      <c r="G282" s="496"/>
      <c r="H282" s="494"/>
    </row>
    <row r="283" spans="1:8" ht="15.75">
      <c r="A283" s="310">
        <v>5</v>
      </c>
      <c r="B283" s="400" t="s">
        <v>73</v>
      </c>
      <c r="C283" s="494"/>
      <c r="D283" s="365"/>
      <c r="E283" s="496">
        <v>7200</v>
      </c>
      <c r="F283" s="496">
        <v>720000</v>
      </c>
      <c r="G283" s="496"/>
      <c r="H283" s="494"/>
    </row>
    <row r="284" spans="1:8" ht="15.75">
      <c r="A284" s="310">
        <v>6</v>
      </c>
      <c r="B284" s="400" t="s">
        <v>84</v>
      </c>
      <c r="C284" s="365">
        <v>38</v>
      </c>
      <c r="D284" s="529">
        <v>182.89</v>
      </c>
      <c r="E284" s="537">
        <v>315383.23</v>
      </c>
      <c r="F284" s="496">
        <v>123945609</v>
      </c>
      <c r="G284" s="496">
        <v>11361000</v>
      </c>
      <c r="H284" s="494">
        <v>400</v>
      </c>
    </row>
    <row r="285" spans="1:8" ht="15.75">
      <c r="A285" s="310">
        <v>7</v>
      </c>
      <c r="B285" s="400" t="s">
        <v>89</v>
      </c>
      <c r="C285" s="530"/>
      <c r="D285" s="531"/>
      <c r="E285" s="496"/>
      <c r="F285" s="496"/>
      <c r="G285" s="496"/>
      <c r="H285" s="494"/>
    </row>
    <row r="286" spans="1:8" ht="15.75">
      <c r="A286" s="310">
        <v>8</v>
      </c>
      <c r="B286" s="400" t="s">
        <v>105</v>
      </c>
      <c r="C286" s="494"/>
      <c r="D286" s="524"/>
      <c r="E286" s="496">
        <v>2875</v>
      </c>
      <c r="F286" s="496">
        <v>575000</v>
      </c>
      <c r="G286" s="496">
        <v>115000</v>
      </c>
      <c r="H286" s="494">
        <v>7</v>
      </c>
    </row>
    <row r="287" spans="1:8" ht="15.75">
      <c r="A287" s="310">
        <v>9</v>
      </c>
      <c r="B287" s="400" t="s">
        <v>385</v>
      </c>
      <c r="C287" s="486"/>
      <c r="D287" s="539"/>
      <c r="E287" s="496">
        <v>107537</v>
      </c>
      <c r="F287" s="496">
        <v>32261100</v>
      </c>
      <c r="G287" s="540"/>
      <c r="H287" s="540"/>
    </row>
    <row r="288" spans="1:8" ht="15.75">
      <c r="A288" s="310">
        <v>10</v>
      </c>
      <c r="B288" s="400" t="s">
        <v>97</v>
      </c>
      <c r="C288" s="365">
        <v>123</v>
      </c>
      <c r="D288" s="494">
        <v>1053.81</v>
      </c>
      <c r="E288" s="365">
        <v>679614</v>
      </c>
      <c r="F288" s="496">
        <v>237864900</v>
      </c>
      <c r="G288" s="533">
        <v>29126000</v>
      </c>
      <c r="H288" s="494">
        <v>500</v>
      </c>
    </row>
    <row r="289" spans="1:8" ht="15.75">
      <c r="A289" s="1103" t="s">
        <v>129</v>
      </c>
      <c r="B289" s="1104"/>
      <c r="C289" s="738">
        <f aca="true" t="shared" si="26" ref="C289:H289">SUM(C279:C288)</f>
        <v>1114</v>
      </c>
      <c r="D289" s="739">
        <f t="shared" si="26"/>
        <v>6390.194000000001</v>
      </c>
      <c r="E289" s="740">
        <f>SUM(E279:E288)</f>
        <v>2074624.23</v>
      </c>
      <c r="F289" s="740">
        <f>SUM(F279:F288)</f>
        <v>702556859</v>
      </c>
      <c r="G289" s="738">
        <f t="shared" si="26"/>
        <v>112554883</v>
      </c>
      <c r="H289" s="738">
        <f t="shared" si="26"/>
        <v>6277</v>
      </c>
    </row>
    <row r="290" spans="1:8" ht="18.75">
      <c r="A290" s="422"/>
      <c r="B290" s="423"/>
      <c r="C290" s="424"/>
      <c r="D290" s="432"/>
      <c r="E290" s="426"/>
      <c r="F290" s="426"/>
      <c r="G290" s="426"/>
      <c r="H290" s="424"/>
    </row>
    <row r="291" spans="2:8" ht="18.75">
      <c r="B291" s="34"/>
      <c r="C291" s="433"/>
      <c r="D291" s="415" t="s">
        <v>111</v>
      </c>
      <c r="E291" s="434"/>
      <c r="F291" s="275"/>
      <c r="G291" s="275"/>
      <c r="H291" s="275"/>
    </row>
    <row r="292" spans="1:8" ht="15">
      <c r="A292" s="1099" t="s">
        <v>4</v>
      </c>
      <c r="B292" s="1101" t="s">
        <v>114</v>
      </c>
      <c r="C292" s="735" t="s">
        <v>6</v>
      </c>
      <c r="D292" s="735" t="s">
        <v>7</v>
      </c>
      <c r="E292" s="735" t="s">
        <v>8</v>
      </c>
      <c r="F292" s="735" t="s">
        <v>9</v>
      </c>
      <c r="G292" s="735" t="s">
        <v>10</v>
      </c>
      <c r="H292" s="735" t="s">
        <v>11</v>
      </c>
    </row>
    <row r="293" spans="1:8" ht="15">
      <c r="A293" s="1100"/>
      <c r="B293" s="1102"/>
      <c r="C293" s="736" t="s">
        <v>268</v>
      </c>
      <c r="D293" s="736" t="s">
        <v>12</v>
      </c>
      <c r="E293" s="736" t="s">
        <v>13</v>
      </c>
      <c r="F293" s="737" t="s">
        <v>391</v>
      </c>
      <c r="G293" s="737" t="s">
        <v>391</v>
      </c>
      <c r="H293" s="736" t="s">
        <v>15</v>
      </c>
    </row>
    <row r="294" spans="1:8" ht="15.75">
      <c r="A294" s="310">
        <v>1</v>
      </c>
      <c r="B294" s="478" t="s">
        <v>108</v>
      </c>
      <c r="C294" s="494">
        <v>5</v>
      </c>
      <c r="D294" s="494">
        <v>2533.981</v>
      </c>
      <c r="E294" s="543">
        <v>1439726</v>
      </c>
      <c r="F294" s="496">
        <v>2879452000</v>
      </c>
      <c r="G294" s="545">
        <v>726203000</v>
      </c>
      <c r="H294" s="494">
        <v>1120</v>
      </c>
    </row>
    <row r="295" spans="1:8" ht="15.75">
      <c r="A295" s="1103" t="s">
        <v>129</v>
      </c>
      <c r="B295" s="1104"/>
      <c r="C295" s="738">
        <f aca="true" t="shared" si="27" ref="C295:H295">SUM(C294)</f>
        <v>5</v>
      </c>
      <c r="D295" s="739">
        <f t="shared" si="27"/>
        <v>2533.981</v>
      </c>
      <c r="E295" s="738">
        <f t="shared" si="27"/>
        <v>1439726</v>
      </c>
      <c r="F295" s="738">
        <f t="shared" si="27"/>
        <v>2879452000</v>
      </c>
      <c r="G295" s="738">
        <f t="shared" si="27"/>
        <v>726203000</v>
      </c>
      <c r="H295" s="738">
        <f t="shared" si="27"/>
        <v>1120</v>
      </c>
    </row>
    <row r="296" spans="1:8" ht="15">
      <c r="A296" s="422"/>
      <c r="B296" s="423"/>
      <c r="C296" s="424"/>
      <c r="D296" s="425"/>
      <c r="E296" s="426"/>
      <c r="F296" s="426"/>
      <c r="G296" s="426"/>
      <c r="H296" s="424"/>
    </row>
    <row r="297" spans="1:8" ht="18.75">
      <c r="A297" s="34"/>
      <c r="B297" s="414"/>
      <c r="C297" s="258"/>
      <c r="D297" s="415" t="s">
        <v>46</v>
      </c>
      <c r="E297" s="275"/>
      <c r="F297" s="275"/>
      <c r="G297" s="275"/>
      <c r="H297" s="258"/>
    </row>
    <row r="298" spans="1:8" ht="15">
      <c r="A298" s="1099" t="s">
        <v>4</v>
      </c>
      <c r="B298" s="1101" t="s">
        <v>114</v>
      </c>
      <c r="C298" s="735" t="s">
        <v>6</v>
      </c>
      <c r="D298" s="735" t="s">
        <v>7</v>
      </c>
      <c r="E298" s="735" t="s">
        <v>8</v>
      </c>
      <c r="F298" s="735" t="s">
        <v>9</v>
      </c>
      <c r="G298" s="735" t="s">
        <v>10</v>
      </c>
      <c r="H298" s="735" t="s">
        <v>11</v>
      </c>
    </row>
    <row r="299" spans="1:8" ht="15">
      <c r="A299" s="1100"/>
      <c r="B299" s="1102"/>
      <c r="C299" s="736" t="s">
        <v>268</v>
      </c>
      <c r="D299" s="736" t="s">
        <v>12</v>
      </c>
      <c r="E299" s="736" t="s">
        <v>13</v>
      </c>
      <c r="F299" s="737" t="s">
        <v>391</v>
      </c>
      <c r="G299" s="737" t="s">
        <v>391</v>
      </c>
      <c r="H299" s="736" t="s">
        <v>15</v>
      </c>
    </row>
    <row r="300" spans="1:8" ht="15.75">
      <c r="A300" s="310">
        <v>1</v>
      </c>
      <c r="B300" s="474" t="s">
        <v>42</v>
      </c>
      <c r="C300" s="494">
        <v>3</v>
      </c>
      <c r="D300" s="524">
        <v>402.62</v>
      </c>
      <c r="E300" s="496">
        <v>1337</v>
      </c>
      <c r="F300" s="496">
        <v>1136204</v>
      </c>
      <c r="G300" s="496">
        <v>300000</v>
      </c>
      <c r="H300" s="494">
        <v>40</v>
      </c>
    </row>
    <row r="301" spans="1:8" ht="15.75">
      <c r="A301" s="310">
        <v>2</v>
      </c>
      <c r="B301" s="478" t="s">
        <v>65</v>
      </c>
      <c r="C301" s="494">
        <v>1</v>
      </c>
      <c r="D301" s="524">
        <v>531</v>
      </c>
      <c r="E301" s="496">
        <v>5697</v>
      </c>
      <c r="F301" s="496">
        <v>7406100</v>
      </c>
      <c r="G301" s="496">
        <v>2000000</v>
      </c>
      <c r="H301" s="494">
        <v>3</v>
      </c>
    </row>
    <row r="302" spans="1:8" ht="15.75">
      <c r="A302" s="1103" t="s">
        <v>129</v>
      </c>
      <c r="B302" s="1104"/>
      <c r="C302" s="738">
        <f aca="true" t="shared" si="28" ref="C302:H302">SUM(C300:C301)</f>
        <v>4</v>
      </c>
      <c r="D302" s="739">
        <f t="shared" si="28"/>
        <v>933.62</v>
      </c>
      <c r="E302" s="738">
        <f t="shared" si="28"/>
        <v>7034</v>
      </c>
      <c r="F302" s="738">
        <f t="shared" si="28"/>
        <v>8542304</v>
      </c>
      <c r="G302" s="738">
        <f t="shared" si="28"/>
        <v>2300000</v>
      </c>
      <c r="H302" s="738">
        <f t="shared" si="28"/>
        <v>43</v>
      </c>
    </row>
    <row r="303" spans="1:8" ht="15">
      <c r="A303" s="422"/>
      <c r="B303" s="423"/>
      <c r="C303" s="424"/>
      <c r="D303" s="425"/>
      <c r="E303" s="426"/>
      <c r="F303" s="426"/>
      <c r="G303" s="426"/>
      <c r="H303" s="424"/>
    </row>
    <row r="304" spans="1:8" ht="18.75">
      <c r="A304" s="34"/>
      <c r="B304" s="414"/>
      <c r="C304" s="258"/>
      <c r="D304" s="415" t="s">
        <v>36</v>
      </c>
      <c r="E304" s="275"/>
      <c r="F304" s="275"/>
      <c r="G304" s="275"/>
      <c r="H304" s="258"/>
    </row>
    <row r="305" spans="1:8" ht="15">
      <c r="A305" s="1099" t="s">
        <v>4</v>
      </c>
      <c r="B305" s="1101" t="s">
        <v>114</v>
      </c>
      <c r="C305" s="735" t="s">
        <v>6</v>
      </c>
      <c r="D305" s="735" t="s">
        <v>7</v>
      </c>
      <c r="E305" s="735" t="s">
        <v>8</v>
      </c>
      <c r="F305" s="735" t="s">
        <v>9</v>
      </c>
      <c r="G305" s="735" t="s">
        <v>10</v>
      </c>
      <c r="H305" s="735" t="s">
        <v>11</v>
      </c>
    </row>
    <row r="306" spans="1:8" ht="15">
      <c r="A306" s="1100"/>
      <c r="B306" s="1102"/>
      <c r="C306" s="736" t="s">
        <v>268</v>
      </c>
      <c r="D306" s="736" t="s">
        <v>12</v>
      </c>
      <c r="E306" s="736" t="s">
        <v>13</v>
      </c>
      <c r="F306" s="737" t="s">
        <v>391</v>
      </c>
      <c r="G306" s="737" t="s">
        <v>391</v>
      </c>
      <c r="H306" s="736" t="s">
        <v>15</v>
      </c>
    </row>
    <row r="307" spans="1:8" ht="15.75">
      <c r="A307" s="310">
        <v>1</v>
      </c>
      <c r="B307" s="400" t="s">
        <v>97</v>
      </c>
      <c r="C307" s="365">
        <v>1</v>
      </c>
      <c r="D307" s="494">
        <v>4.914</v>
      </c>
      <c r="E307" s="365">
        <v>9500</v>
      </c>
      <c r="F307" s="496">
        <v>2850000</v>
      </c>
      <c r="G307" s="525">
        <v>566000</v>
      </c>
      <c r="H307" s="494">
        <v>20</v>
      </c>
    </row>
    <row r="308" spans="1:8" ht="15.75">
      <c r="A308" s="310">
        <v>2</v>
      </c>
      <c r="B308" s="400" t="s">
        <v>32</v>
      </c>
      <c r="C308" s="486">
        <v>2</v>
      </c>
      <c r="D308" s="365">
        <v>8.5025</v>
      </c>
      <c r="E308" s="496">
        <v>5260</v>
      </c>
      <c r="F308" s="496">
        <v>1578000</v>
      </c>
      <c r="G308" s="496">
        <v>104000</v>
      </c>
      <c r="H308" s="494">
        <v>3</v>
      </c>
    </row>
    <row r="309" spans="1:8" ht="15.75">
      <c r="A309" s="310">
        <v>3</v>
      </c>
      <c r="B309" s="400" t="s">
        <v>42</v>
      </c>
      <c r="C309" s="494"/>
      <c r="D309" s="524"/>
      <c r="E309" s="496"/>
      <c r="F309" s="496"/>
      <c r="G309" s="496"/>
      <c r="H309" s="496"/>
    </row>
    <row r="310" spans="1:8" ht="15.75">
      <c r="A310" s="310">
        <v>4</v>
      </c>
      <c r="B310" s="400" t="s">
        <v>49</v>
      </c>
      <c r="C310" s="541">
        <v>14</v>
      </c>
      <c r="D310" s="542">
        <v>397.7961</v>
      </c>
      <c r="E310" s="541">
        <v>108063.48</v>
      </c>
      <c r="F310" s="547">
        <v>4521327</v>
      </c>
      <c r="G310" s="541">
        <v>3566095</v>
      </c>
      <c r="H310" s="541">
        <v>18</v>
      </c>
    </row>
    <row r="311" spans="1:8" ht="15.75">
      <c r="A311" s="310">
        <v>5</v>
      </c>
      <c r="B311" s="400" t="s">
        <v>54</v>
      </c>
      <c r="C311" s="494">
        <v>1</v>
      </c>
      <c r="D311" s="365">
        <v>5</v>
      </c>
      <c r="E311" s="494">
        <v>0</v>
      </c>
      <c r="F311" s="496">
        <v>0</v>
      </c>
      <c r="G311" s="496">
        <v>0</v>
      </c>
      <c r="H311" s="494">
        <v>0</v>
      </c>
    </row>
    <row r="312" spans="1:8" ht="15.75">
      <c r="A312" s="310">
        <v>6</v>
      </c>
      <c r="B312" s="400" t="s">
        <v>67</v>
      </c>
      <c r="C312" s="494">
        <v>1</v>
      </c>
      <c r="D312" s="524">
        <v>125</v>
      </c>
      <c r="E312" s="496">
        <v>98869</v>
      </c>
      <c r="F312" s="496">
        <v>84038650</v>
      </c>
      <c r="G312" s="496">
        <v>8900000</v>
      </c>
      <c r="H312" s="494">
        <v>142</v>
      </c>
    </row>
    <row r="313" spans="1:8" ht="15.75">
      <c r="A313" s="310">
        <v>7</v>
      </c>
      <c r="B313" s="400" t="s">
        <v>68</v>
      </c>
      <c r="C313" s="494"/>
      <c r="D313" s="365"/>
      <c r="E313" s="496">
        <v>118460</v>
      </c>
      <c r="F313" s="496">
        <v>35538000</v>
      </c>
      <c r="G313" s="496">
        <v>5981000</v>
      </c>
      <c r="H313" s="486">
        <v>0</v>
      </c>
    </row>
    <row r="314" spans="1:8" ht="15.75">
      <c r="A314" s="310">
        <v>8</v>
      </c>
      <c r="B314" s="400" t="s">
        <v>73</v>
      </c>
      <c r="C314" s="494">
        <v>9</v>
      </c>
      <c r="D314" s="365">
        <v>349.43</v>
      </c>
      <c r="E314" s="496">
        <v>45665</v>
      </c>
      <c r="F314" s="496">
        <v>8791650</v>
      </c>
      <c r="G314" s="496">
        <v>1340000</v>
      </c>
      <c r="H314" s="494">
        <v>152</v>
      </c>
    </row>
    <row r="315" spans="1:8" ht="15.75">
      <c r="A315" s="310">
        <v>9</v>
      </c>
      <c r="B315" s="400" t="s">
        <v>82</v>
      </c>
      <c r="C315" s="494">
        <v>33</v>
      </c>
      <c r="D315" s="365">
        <v>600.78</v>
      </c>
      <c r="E315" s="496">
        <v>414620</v>
      </c>
      <c r="F315" s="496">
        <v>145117000</v>
      </c>
      <c r="G315" s="496">
        <v>9926000</v>
      </c>
      <c r="H315" s="494">
        <v>750</v>
      </c>
    </row>
    <row r="316" spans="1:8" ht="15.75">
      <c r="A316" s="310">
        <v>10</v>
      </c>
      <c r="B316" s="400" t="s">
        <v>84</v>
      </c>
      <c r="C316" s="365">
        <v>1</v>
      </c>
      <c r="D316" s="529">
        <v>66.5</v>
      </c>
      <c r="E316" s="537">
        <v>0</v>
      </c>
      <c r="F316" s="496">
        <v>0</v>
      </c>
      <c r="G316" s="496">
        <v>50000</v>
      </c>
      <c r="H316" s="494">
        <v>0</v>
      </c>
    </row>
    <row r="317" spans="1:8" ht="15.75">
      <c r="A317" s="310">
        <v>11</v>
      </c>
      <c r="B317" s="400" t="s">
        <v>88</v>
      </c>
      <c r="C317" s="494">
        <v>5</v>
      </c>
      <c r="D317" s="365">
        <v>20.99</v>
      </c>
      <c r="E317" s="496">
        <v>0</v>
      </c>
      <c r="F317" s="496">
        <v>0</v>
      </c>
      <c r="G317" s="496">
        <v>40000</v>
      </c>
      <c r="H317" s="494">
        <v>0</v>
      </c>
    </row>
    <row r="318" spans="1:8" ht="15.75">
      <c r="A318" s="310">
        <v>12</v>
      </c>
      <c r="B318" s="400" t="s">
        <v>90</v>
      </c>
      <c r="C318" s="530">
        <v>1</v>
      </c>
      <c r="D318" s="538">
        <v>4.2</v>
      </c>
      <c r="E318" s="496">
        <v>0</v>
      </c>
      <c r="F318" s="530">
        <v>0</v>
      </c>
      <c r="G318" s="530">
        <v>201000</v>
      </c>
      <c r="H318" s="494">
        <v>9</v>
      </c>
    </row>
    <row r="319" spans="1:8" ht="15.75">
      <c r="A319" s="310">
        <v>13</v>
      </c>
      <c r="B319" s="400" t="s">
        <v>105</v>
      </c>
      <c r="C319" s="494">
        <v>3</v>
      </c>
      <c r="D319" s="524">
        <v>14.0612</v>
      </c>
      <c r="E319" s="496">
        <v>0</v>
      </c>
      <c r="F319" s="496">
        <v>0</v>
      </c>
      <c r="G319" s="496">
        <v>115000</v>
      </c>
      <c r="H319" s="494"/>
    </row>
    <row r="320" spans="1:8" ht="15.75">
      <c r="A320" s="1103" t="s">
        <v>129</v>
      </c>
      <c r="B320" s="1104"/>
      <c r="C320" s="738">
        <f aca="true" t="shared" si="29" ref="C320:H320">SUM(C307:C319)</f>
        <v>71</v>
      </c>
      <c r="D320" s="739">
        <f t="shared" si="29"/>
        <v>1597.1738000000003</v>
      </c>
      <c r="E320" s="738">
        <f t="shared" si="29"/>
        <v>800437.48</v>
      </c>
      <c r="F320" s="738">
        <f t="shared" si="29"/>
        <v>282434627</v>
      </c>
      <c r="G320" s="738">
        <f t="shared" si="29"/>
        <v>30789095</v>
      </c>
      <c r="H320" s="738">
        <f t="shared" si="29"/>
        <v>1094</v>
      </c>
    </row>
    <row r="321" spans="1:8" ht="18.75">
      <c r="A321" s="34"/>
      <c r="B321" s="414"/>
      <c r="C321" s="258"/>
      <c r="D321" s="415" t="s">
        <v>272</v>
      </c>
      <c r="E321" s="275"/>
      <c r="F321" s="275"/>
      <c r="G321" s="275"/>
      <c r="H321" s="258"/>
    </row>
    <row r="322" spans="1:8" ht="15">
      <c r="A322" s="1099" t="s">
        <v>4</v>
      </c>
      <c r="B322" s="1101" t="s">
        <v>114</v>
      </c>
      <c r="C322" s="735" t="s">
        <v>6</v>
      </c>
      <c r="D322" s="735" t="s">
        <v>7</v>
      </c>
      <c r="E322" s="735" t="s">
        <v>8</v>
      </c>
      <c r="F322" s="735" t="s">
        <v>9</v>
      </c>
      <c r="G322" s="735" t="s">
        <v>10</v>
      </c>
      <c r="H322" s="735" t="s">
        <v>11</v>
      </c>
    </row>
    <row r="323" spans="1:8" ht="15">
      <c r="A323" s="1100"/>
      <c r="B323" s="1102"/>
      <c r="C323" s="736" t="s">
        <v>268</v>
      </c>
      <c r="D323" s="736" t="s">
        <v>12</v>
      </c>
      <c r="E323" s="736" t="s">
        <v>13</v>
      </c>
      <c r="F323" s="737" t="s">
        <v>391</v>
      </c>
      <c r="G323" s="737" t="s">
        <v>391</v>
      </c>
      <c r="H323" s="736" t="s">
        <v>15</v>
      </c>
    </row>
    <row r="324" spans="1:8" ht="15.75">
      <c r="A324" s="310">
        <v>1</v>
      </c>
      <c r="B324" s="548" t="s">
        <v>42</v>
      </c>
      <c r="C324" s="494">
        <v>5</v>
      </c>
      <c r="D324" s="524">
        <v>94.999</v>
      </c>
      <c r="E324" s="496"/>
      <c r="F324" s="496"/>
      <c r="G324" s="496">
        <v>284006</v>
      </c>
      <c r="H324" s="496"/>
    </row>
    <row r="325" spans="1:8" ht="15.75">
      <c r="A325" s="310">
        <v>2</v>
      </c>
      <c r="B325" s="549" t="s">
        <v>75</v>
      </c>
      <c r="C325" s="494">
        <v>10</v>
      </c>
      <c r="D325" s="524">
        <v>91.71</v>
      </c>
      <c r="E325" s="496">
        <v>18426</v>
      </c>
      <c r="F325" s="496">
        <v>14740800</v>
      </c>
      <c r="G325" s="496">
        <v>1860000</v>
      </c>
      <c r="H325" s="494">
        <v>30</v>
      </c>
    </row>
    <row r="326" spans="1:8" ht="15.75">
      <c r="A326" s="1103" t="s">
        <v>129</v>
      </c>
      <c r="B326" s="1104"/>
      <c r="C326" s="738">
        <f aca="true" t="shared" si="30" ref="C326:H326">SUM(C324:C325)</f>
        <v>15</v>
      </c>
      <c r="D326" s="739">
        <f t="shared" si="30"/>
        <v>186.709</v>
      </c>
      <c r="E326" s="738">
        <f t="shared" si="30"/>
        <v>18426</v>
      </c>
      <c r="F326" s="738">
        <f t="shared" si="30"/>
        <v>14740800</v>
      </c>
      <c r="G326" s="738">
        <f t="shared" si="30"/>
        <v>2144006</v>
      </c>
      <c r="H326" s="738">
        <f t="shared" si="30"/>
        <v>30</v>
      </c>
    </row>
    <row r="327" spans="1:8" ht="15.75">
      <c r="A327" s="49"/>
      <c r="B327" s="428"/>
      <c r="C327" s="258"/>
      <c r="D327" s="429"/>
      <c r="E327" s="430"/>
      <c r="F327" s="430"/>
      <c r="G327" s="430"/>
      <c r="H327" s="430"/>
    </row>
    <row r="328" spans="1:8" ht="18.75">
      <c r="A328" s="34"/>
      <c r="B328" s="414"/>
      <c r="C328" s="258"/>
      <c r="D328" s="415" t="s">
        <v>273</v>
      </c>
      <c r="E328" s="275"/>
      <c r="F328" s="275"/>
      <c r="G328" s="275"/>
      <c r="H328" s="258"/>
    </row>
    <row r="329" spans="1:8" ht="15">
      <c r="A329" s="1099" t="s">
        <v>4</v>
      </c>
      <c r="B329" s="1101" t="s">
        <v>114</v>
      </c>
      <c r="C329" s="735" t="s">
        <v>6</v>
      </c>
      <c r="D329" s="735" t="s">
        <v>7</v>
      </c>
      <c r="E329" s="735" t="s">
        <v>8</v>
      </c>
      <c r="F329" s="735" t="s">
        <v>9</v>
      </c>
      <c r="G329" s="735" t="s">
        <v>10</v>
      </c>
      <c r="H329" s="735" t="s">
        <v>11</v>
      </c>
    </row>
    <row r="330" spans="1:8" ht="15">
      <c r="A330" s="1100"/>
      <c r="B330" s="1102"/>
      <c r="C330" s="736" t="s">
        <v>268</v>
      </c>
      <c r="D330" s="736" t="s">
        <v>12</v>
      </c>
      <c r="E330" s="736" t="s">
        <v>13</v>
      </c>
      <c r="F330" s="737" t="s">
        <v>391</v>
      </c>
      <c r="G330" s="737" t="s">
        <v>391</v>
      </c>
      <c r="H330" s="736" t="s">
        <v>15</v>
      </c>
    </row>
    <row r="331" spans="1:8" ht="15">
      <c r="A331" s="310">
        <v>1</v>
      </c>
      <c r="B331" s="550" t="s">
        <v>108</v>
      </c>
      <c r="C331" s="404"/>
      <c r="D331" s="418"/>
      <c r="E331" s="419"/>
      <c r="F331" s="419"/>
      <c r="G331" s="419"/>
      <c r="H331" s="352"/>
    </row>
    <row r="332" spans="1:8" ht="15.75">
      <c r="A332" s="1103" t="s">
        <v>129</v>
      </c>
      <c r="B332" s="1104"/>
      <c r="C332" s="738">
        <f aca="true" t="shared" si="31" ref="C332:H332">SUM(C331:C331)</f>
        <v>0</v>
      </c>
      <c r="D332" s="739">
        <f t="shared" si="31"/>
        <v>0</v>
      </c>
      <c r="E332" s="738">
        <f t="shared" si="31"/>
        <v>0</v>
      </c>
      <c r="F332" s="738">
        <f t="shared" si="31"/>
        <v>0</v>
      </c>
      <c r="G332" s="738">
        <f t="shared" si="31"/>
        <v>0</v>
      </c>
      <c r="H332" s="738">
        <f t="shared" si="31"/>
        <v>0</v>
      </c>
    </row>
    <row r="333" spans="1:8" ht="15.75">
      <c r="A333" s="49"/>
      <c r="B333" s="428"/>
      <c r="C333" s="258"/>
      <c r="D333" s="429"/>
      <c r="E333" s="430"/>
      <c r="F333" s="430"/>
      <c r="G333" s="430"/>
      <c r="H333" s="430"/>
    </row>
    <row r="334" spans="1:8" ht="18.75">
      <c r="A334" s="34"/>
      <c r="B334" s="414"/>
      <c r="C334" s="258"/>
      <c r="D334" s="415" t="s">
        <v>25</v>
      </c>
      <c r="E334" s="275"/>
      <c r="F334" s="275"/>
      <c r="G334" s="275"/>
      <c r="H334" s="258"/>
    </row>
    <row r="335" spans="1:8" ht="15">
      <c r="A335" s="1099" t="s">
        <v>4</v>
      </c>
      <c r="B335" s="1101" t="s">
        <v>114</v>
      </c>
      <c r="C335" s="735" t="s">
        <v>6</v>
      </c>
      <c r="D335" s="735" t="s">
        <v>7</v>
      </c>
      <c r="E335" s="735" t="s">
        <v>8</v>
      </c>
      <c r="F335" s="735" t="s">
        <v>9</v>
      </c>
      <c r="G335" s="735" t="s">
        <v>10</v>
      </c>
      <c r="H335" s="735" t="s">
        <v>11</v>
      </c>
    </row>
    <row r="336" spans="1:8" ht="15">
      <c r="A336" s="1100"/>
      <c r="B336" s="1102"/>
      <c r="C336" s="736" t="s">
        <v>268</v>
      </c>
      <c r="D336" s="736" t="s">
        <v>12</v>
      </c>
      <c r="E336" s="736" t="s">
        <v>13</v>
      </c>
      <c r="F336" s="737" t="s">
        <v>391</v>
      </c>
      <c r="G336" s="737" t="s">
        <v>391</v>
      </c>
      <c r="H336" s="736" t="s">
        <v>15</v>
      </c>
    </row>
    <row r="337" spans="1:8" ht="15.75">
      <c r="A337" s="310">
        <v>1</v>
      </c>
      <c r="B337" s="400" t="s">
        <v>20</v>
      </c>
      <c r="C337" s="494">
        <v>1</v>
      </c>
      <c r="D337" s="524">
        <v>4.74</v>
      </c>
      <c r="E337" s="528">
        <v>680</v>
      </c>
      <c r="F337" s="496">
        <v>122400</v>
      </c>
      <c r="G337" s="496">
        <v>10000</v>
      </c>
      <c r="H337" s="494">
        <v>2</v>
      </c>
    </row>
    <row r="338" spans="1:8" ht="15.75">
      <c r="A338" s="310">
        <v>2</v>
      </c>
      <c r="B338" s="400" t="s">
        <v>32</v>
      </c>
      <c r="C338" s="486">
        <v>1</v>
      </c>
      <c r="D338" s="365">
        <v>4.6856</v>
      </c>
      <c r="E338" s="496">
        <v>6033</v>
      </c>
      <c r="F338" s="496">
        <v>1508250</v>
      </c>
      <c r="G338" s="496">
        <v>188000</v>
      </c>
      <c r="H338" s="494">
        <v>3</v>
      </c>
    </row>
    <row r="339" spans="1:8" ht="15.75">
      <c r="A339" s="310">
        <v>3</v>
      </c>
      <c r="B339" s="400" t="s">
        <v>37</v>
      </c>
      <c r="C339" s="494">
        <v>1</v>
      </c>
      <c r="D339" s="365">
        <v>63.3866</v>
      </c>
      <c r="E339" s="540">
        <v>1340</v>
      </c>
      <c r="F339" s="494">
        <v>1206000</v>
      </c>
      <c r="G339" s="496">
        <v>563000</v>
      </c>
      <c r="H339" s="496">
        <v>250</v>
      </c>
    </row>
    <row r="340" spans="1:8" ht="15.75">
      <c r="A340" s="310">
        <v>4</v>
      </c>
      <c r="B340" s="400" t="s">
        <v>54</v>
      </c>
      <c r="C340" s="494">
        <v>24</v>
      </c>
      <c r="D340" s="365">
        <v>2828.8502</v>
      </c>
      <c r="E340" s="494">
        <v>335035</v>
      </c>
      <c r="F340" s="496">
        <v>335035000</v>
      </c>
      <c r="G340" s="496">
        <v>58826691</v>
      </c>
      <c r="H340" s="494">
        <v>568</v>
      </c>
    </row>
    <row r="341" spans="1:8" ht="15.75">
      <c r="A341" s="310">
        <v>5</v>
      </c>
      <c r="B341" s="400" t="s">
        <v>63</v>
      </c>
      <c r="C341" s="494">
        <v>5</v>
      </c>
      <c r="D341" s="524">
        <v>192.1525</v>
      </c>
      <c r="E341" s="496">
        <v>32102</v>
      </c>
      <c r="F341" s="496">
        <v>9470090</v>
      </c>
      <c r="G341" s="496">
        <v>4393000</v>
      </c>
      <c r="H341" s="494">
        <v>12</v>
      </c>
    </row>
    <row r="342" spans="1:8" ht="15.75">
      <c r="A342" s="310">
        <v>6</v>
      </c>
      <c r="B342" s="400" t="s">
        <v>69</v>
      </c>
      <c r="C342" s="494">
        <v>31</v>
      </c>
      <c r="D342" s="524">
        <v>672.9</v>
      </c>
      <c r="E342" s="496">
        <v>7398.81</v>
      </c>
      <c r="F342" s="496">
        <v>403742</v>
      </c>
      <c r="G342" s="496">
        <v>2131492</v>
      </c>
      <c r="H342" s="494">
        <v>250</v>
      </c>
    </row>
    <row r="343" spans="1:8" ht="15.75">
      <c r="A343" s="310">
        <v>7</v>
      </c>
      <c r="B343" s="400" t="s">
        <v>73</v>
      </c>
      <c r="C343" s="530">
        <v>9</v>
      </c>
      <c r="D343" s="365">
        <v>555.2</v>
      </c>
      <c r="E343" s="540">
        <v>656</v>
      </c>
      <c r="F343" s="532">
        <v>278800</v>
      </c>
      <c r="G343" s="532">
        <v>126000</v>
      </c>
      <c r="H343" s="486">
        <v>15</v>
      </c>
    </row>
    <row r="344" spans="1:8" ht="15.75">
      <c r="A344" s="310">
        <v>8</v>
      </c>
      <c r="B344" s="400" t="s">
        <v>82</v>
      </c>
      <c r="C344" s="494">
        <v>10</v>
      </c>
      <c r="D344" s="365">
        <v>892.48</v>
      </c>
      <c r="E344" s="496">
        <v>9046</v>
      </c>
      <c r="F344" s="496">
        <v>5643600</v>
      </c>
      <c r="G344" s="496">
        <v>990000</v>
      </c>
      <c r="H344" s="494">
        <v>60</v>
      </c>
    </row>
    <row r="345" spans="1:8" ht="15.75">
      <c r="A345" s="310">
        <v>9</v>
      </c>
      <c r="B345" s="400" t="s">
        <v>264</v>
      </c>
      <c r="C345" s="494">
        <v>25</v>
      </c>
      <c r="D345" s="524">
        <v>1093.95</v>
      </c>
      <c r="E345" s="496">
        <v>189053</v>
      </c>
      <c r="F345" s="496">
        <v>198505650</v>
      </c>
      <c r="G345" s="496">
        <v>30308000</v>
      </c>
      <c r="H345" s="494">
        <v>3500</v>
      </c>
    </row>
    <row r="346" spans="1:8" ht="15.75">
      <c r="A346" s="310">
        <v>10</v>
      </c>
      <c r="B346" s="400" t="s">
        <v>90</v>
      </c>
      <c r="C346" s="530">
        <v>10</v>
      </c>
      <c r="D346" s="538">
        <v>498.23</v>
      </c>
      <c r="E346" s="496">
        <v>30745</v>
      </c>
      <c r="F346" s="530">
        <v>24596000</v>
      </c>
      <c r="G346" s="530">
        <v>3347000</v>
      </c>
      <c r="H346" s="494">
        <v>913</v>
      </c>
    </row>
    <row r="347" spans="1:8" ht="15.75">
      <c r="A347" s="310">
        <v>11</v>
      </c>
      <c r="B347" s="400" t="s">
        <v>94</v>
      </c>
      <c r="C347" s="494">
        <v>39</v>
      </c>
      <c r="D347" s="524">
        <v>743.03</v>
      </c>
      <c r="E347" s="496">
        <v>79938</v>
      </c>
      <c r="F347" s="496">
        <v>20783750</v>
      </c>
      <c r="G347" s="496">
        <v>4796250</v>
      </c>
      <c r="H347" s="494">
        <v>180</v>
      </c>
    </row>
    <row r="348" spans="1:8" ht="15.75">
      <c r="A348" s="310">
        <v>12</v>
      </c>
      <c r="B348" s="400" t="s">
        <v>95</v>
      </c>
      <c r="C348" s="494">
        <v>13</v>
      </c>
      <c r="D348" s="524">
        <v>849.677</v>
      </c>
      <c r="E348" s="496">
        <v>73096</v>
      </c>
      <c r="F348" s="496">
        <v>62165600</v>
      </c>
      <c r="G348" s="496">
        <v>7339000</v>
      </c>
      <c r="H348" s="494">
        <v>250</v>
      </c>
    </row>
    <row r="349" spans="1:8" ht="15.75">
      <c r="A349" s="310">
        <v>13</v>
      </c>
      <c r="B349" s="400" t="s">
        <v>97</v>
      </c>
      <c r="C349" s="365">
        <v>6</v>
      </c>
      <c r="D349" s="494">
        <v>174.285</v>
      </c>
      <c r="E349" s="365">
        <v>0</v>
      </c>
      <c r="F349" s="496">
        <v>0</v>
      </c>
      <c r="G349" s="533">
        <v>2310000</v>
      </c>
      <c r="H349" s="494">
        <v>2</v>
      </c>
    </row>
    <row r="350" spans="1:8" ht="15.75">
      <c r="A350" s="310">
        <v>14</v>
      </c>
      <c r="B350" s="400" t="s">
        <v>108</v>
      </c>
      <c r="C350" s="494">
        <v>38</v>
      </c>
      <c r="D350" s="494">
        <v>2747.958</v>
      </c>
      <c r="E350" s="496">
        <v>39525</v>
      </c>
      <c r="F350" s="496">
        <v>24703125</v>
      </c>
      <c r="G350" s="551">
        <v>11660000</v>
      </c>
      <c r="H350" s="494">
        <v>250</v>
      </c>
    </row>
    <row r="351" spans="1:8" ht="15.75">
      <c r="A351" s="1103" t="s">
        <v>129</v>
      </c>
      <c r="B351" s="1104"/>
      <c r="C351" s="738">
        <f aca="true" t="shared" si="32" ref="C351:H351">SUM(C337:C350)</f>
        <v>213</v>
      </c>
      <c r="D351" s="739">
        <f t="shared" si="32"/>
        <v>11321.5249</v>
      </c>
      <c r="E351" s="738">
        <f t="shared" si="32"/>
        <v>804647.81</v>
      </c>
      <c r="F351" s="738">
        <f t="shared" si="32"/>
        <v>684422007</v>
      </c>
      <c r="G351" s="738">
        <f t="shared" si="32"/>
        <v>126988433</v>
      </c>
      <c r="H351" s="738">
        <f t="shared" si="32"/>
        <v>6255</v>
      </c>
    </row>
    <row r="352" spans="1:8" ht="18.75">
      <c r="A352" s="34"/>
      <c r="B352" s="414"/>
      <c r="C352" s="258"/>
      <c r="D352" s="415" t="s">
        <v>30</v>
      </c>
      <c r="E352" s="275"/>
      <c r="F352" s="275"/>
      <c r="G352" s="275"/>
      <c r="H352" s="258"/>
    </row>
    <row r="353" spans="1:8" ht="15">
      <c r="A353" s="1099" t="s">
        <v>4</v>
      </c>
      <c r="B353" s="1101" t="s">
        <v>114</v>
      </c>
      <c r="C353" s="735" t="s">
        <v>6</v>
      </c>
      <c r="D353" s="735" t="s">
        <v>7</v>
      </c>
      <c r="E353" s="735" t="s">
        <v>8</v>
      </c>
      <c r="F353" s="735" t="s">
        <v>9</v>
      </c>
      <c r="G353" s="735" t="s">
        <v>10</v>
      </c>
      <c r="H353" s="735" t="s">
        <v>11</v>
      </c>
    </row>
    <row r="354" spans="1:8" ht="15">
      <c r="A354" s="1100"/>
      <c r="B354" s="1102"/>
      <c r="C354" s="736" t="s">
        <v>268</v>
      </c>
      <c r="D354" s="736" t="s">
        <v>12</v>
      </c>
      <c r="E354" s="736" t="s">
        <v>13</v>
      </c>
      <c r="F354" s="737" t="s">
        <v>391</v>
      </c>
      <c r="G354" s="737" t="s">
        <v>391</v>
      </c>
      <c r="H354" s="736" t="s">
        <v>15</v>
      </c>
    </row>
    <row r="355" spans="1:8" ht="15.75">
      <c r="A355" s="310">
        <v>1</v>
      </c>
      <c r="B355" s="478" t="s">
        <v>20</v>
      </c>
      <c r="C355" s="494">
        <v>2</v>
      </c>
      <c r="D355" s="552">
        <v>9.93</v>
      </c>
      <c r="E355" s="528">
        <v>0</v>
      </c>
      <c r="F355" s="496">
        <v>0</v>
      </c>
      <c r="G355" s="496">
        <v>10000</v>
      </c>
      <c r="H355" s="494">
        <v>0</v>
      </c>
    </row>
    <row r="356" spans="1:8" ht="15.75">
      <c r="A356" s="1103" t="s">
        <v>129</v>
      </c>
      <c r="B356" s="1104"/>
      <c r="C356" s="738">
        <f aca="true" t="shared" si="33" ref="C356:H356">SUM(C355:C355)</f>
        <v>2</v>
      </c>
      <c r="D356" s="739">
        <f t="shared" si="33"/>
        <v>9.93</v>
      </c>
      <c r="E356" s="738">
        <f t="shared" si="33"/>
        <v>0</v>
      </c>
      <c r="F356" s="738">
        <f t="shared" si="33"/>
        <v>0</v>
      </c>
      <c r="G356" s="738">
        <f t="shared" si="33"/>
        <v>10000</v>
      </c>
      <c r="H356" s="738">
        <f t="shared" si="33"/>
        <v>0</v>
      </c>
    </row>
    <row r="357" spans="1:8" ht="18.75">
      <c r="A357" s="34"/>
      <c r="B357" s="414"/>
      <c r="C357" s="258"/>
      <c r="D357" s="415" t="s">
        <v>22</v>
      </c>
      <c r="E357" s="275"/>
      <c r="F357" s="275"/>
      <c r="G357" s="275"/>
      <c r="H357" s="258"/>
    </row>
    <row r="358" spans="1:8" ht="15">
      <c r="A358" s="1099" t="s">
        <v>4</v>
      </c>
      <c r="B358" s="1101" t="s">
        <v>114</v>
      </c>
      <c r="C358" s="735" t="s">
        <v>6</v>
      </c>
      <c r="D358" s="735" t="s">
        <v>7</v>
      </c>
      <c r="E358" s="735" t="s">
        <v>8</v>
      </c>
      <c r="F358" s="735" t="s">
        <v>9</v>
      </c>
      <c r="G358" s="735" t="s">
        <v>10</v>
      </c>
      <c r="H358" s="735" t="s">
        <v>11</v>
      </c>
    </row>
    <row r="359" spans="1:8" ht="15">
      <c r="A359" s="1100"/>
      <c r="B359" s="1102"/>
      <c r="C359" s="736" t="s">
        <v>268</v>
      </c>
      <c r="D359" s="736" t="s">
        <v>12</v>
      </c>
      <c r="E359" s="736" t="s">
        <v>13</v>
      </c>
      <c r="F359" s="737" t="s">
        <v>391</v>
      </c>
      <c r="G359" s="737" t="s">
        <v>391</v>
      </c>
      <c r="H359" s="736" t="s">
        <v>15</v>
      </c>
    </row>
    <row r="360" spans="1:8" ht="15.75">
      <c r="A360" s="310">
        <v>1</v>
      </c>
      <c r="B360" s="400" t="s">
        <v>20</v>
      </c>
      <c r="C360" s="494">
        <v>6</v>
      </c>
      <c r="D360" s="524">
        <v>64.4</v>
      </c>
      <c r="E360" s="528">
        <v>48990</v>
      </c>
      <c r="F360" s="496">
        <v>39192000</v>
      </c>
      <c r="G360" s="496">
        <v>1085000</v>
      </c>
      <c r="H360" s="494">
        <v>8</v>
      </c>
    </row>
    <row r="361" spans="1:8" ht="15.75">
      <c r="A361" s="310">
        <v>2</v>
      </c>
      <c r="B361" s="400" t="s">
        <v>102</v>
      </c>
      <c r="C361" s="494">
        <v>2</v>
      </c>
      <c r="D361" s="494">
        <v>77.86</v>
      </c>
      <c r="E361" s="496">
        <v>139799</v>
      </c>
      <c r="F361" s="496">
        <v>128615080</v>
      </c>
      <c r="G361" s="496">
        <v>14700000</v>
      </c>
      <c r="H361" s="494">
        <v>240</v>
      </c>
    </row>
    <row r="362" spans="1:8" ht="15.75">
      <c r="A362" s="310">
        <v>3</v>
      </c>
      <c r="B362" s="400" t="s">
        <v>104</v>
      </c>
      <c r="C362" s="494">
        <v>1</v>
      </c>
      <c r="D362" s="529">
        <v>4</v>
      </c>
      <c r="E362" s="496">
        <v>0</v>
      </c>
      <c r="F362" s="496">
        <v>0</v>
      </c>
      <c r="G362" s="496">
        <v>0</v>
      </c>
      <c r="H362" s="494">
        <v>0</v>
      </c>
    </row>
    <row r="363" spans="1:8" ht="15.75">
      <c r="A363" s="310">
        <v>4</v>
      </c>
      <c r="B363" s="400" t="s">
        <v>108</v>
      </c>
      <c r="C363" s="494">
        <v>1</v>
      </c>
      <c r="D363" s="494">
        <v>101.8</v>
      </c>
      <c r="E363" s="496">
        <v>0</v>
      </c>
      <c r="F363" s="494">
        <v>0</v>
      </c>
      <c r="G363" s="496">
        <v>0</v>
      </c>
      <c r="H363" s="494">
        <v>0</v>
      </c>
    </row>
    <row r="364" spans="1:8" ht="15.75">
      <c r="A364" s="1103" t="s">
        <v>129</v>
      </c>
      <c r="B364" s="1104"/>
      <c r="C364" s="738">
        <f aca="true" t="shared" si="34" ref="C364:H364">SUM(C360:C363)</f>
        <v>10</v>
      </c>
      <c r="D364" s="739">
        <f t="shared" si="34"/>
        <v>248.06</v>
      </c>
      <c r="E364" s="738">
        <f t="shared" si="34"/>
        <v>188789</v>
      </c>
      <c r="F364" s="738">
        <f t="shared" si="34"/>
        <v>167807080</v>
      </c>
      <c r="G364" s="738">
        <f t="shared" si="34"/>
        <v>15785000</v>
      </c>
      <c r="H364" s="738">
        <f t="shared" si="34"/>
        <v>248</v>
      </c>
    </row>
    <row r="365" spans="1:8" ht="18.75">
      <c r="A365" s="34"/>
      <c r="B365" s="414"/>
      <c r="C365" s="258"/>
      <c r="D365" s="415" t="s">
        <v>41</v>
      </c>
      <c r="E365" s="275"/>
      <c r="F365" s="275"/>
      <c r="G365" s="275"/>
      <c r="H365" s="258"/>
    </row>
    <row r="366" spans="1:8" ht="15">
      <c r="A366" s="1105" t="s">
        <v>4</v>
      </c>
      <c r="B366" s="1107" t="s">
        <v>114</v>
      </c>
      <c r="C366" s="416" t="s">
        <v>6</v>
      </c>
      <c r="D366" s="416" t="s">
        <v>7</v>
      </c>
      <c r="E366" s="416" t="s">
        <v>8</v>
      </c>
      <c r="F366" s="416" t="s">
        <v>9</v>
      </c>
      <c r="G366" s="416" t="s">
        <v>10</v>
      </c>
      <c r="H366" s="416" t="s">
        <v>11</v>
      </c>
    </row>
    <row r="367" spans="1:8" ht="15">
      <c r="A367" s="1106"/>
      <c r="B367" s="1108"/>
      <c r="C367" s="368" t="s">
        <v>268</v>
      </c>
      <c r="D367" s="368" t="s">
        <v>12</v>
      </c>
      <c r="E367" s="368" t="s">
        <v>13</v>
      </c>
      <c r="F367" s="369" t="s">
        <v>14</v>
      </c>
      <c r="G367" s="369" t="s">
        <v>14</v>
      </c>
      <c r="H367" s="368" t="s">
        <v>15</v>
      </c>
    </row>
    <row r="368" spans="1:8" ht="15">
      <c r="A368" s="310">
        <v>1</v>
      </c>
      <c r="B368" s="417" t="s">
        <v>37</v>
      </c>
      <c r="C368" s="404"/>
      <c r="D368" s="418"/>
      <c r="E368" s="419"/>
      <c r="F368" s="419"/>
      <c r="G368" s="419"/>
      <c r="H368" s="352"/>
    </row>
    <row r="369" spans="1:8" ht="15">
      <c r="A369" s="310">
        <v>2</v>
      </c>
      <c r="B369" s="417" t="s">
        <v>42</v>
      </c>
      <c r="C369" s="404"/>
      <c r="D369" s="418"/>
      <c r="E369" s="419"/>
      <c r="F369" s="419"/>
      <c r="G369" s="419"/>
      <c r="H369" s="352"/>
    </row>
    <row r="370" spans="1:8" ht="15.75">
      <c r="A370" s="310">
        <v>3</v>
      </c>
      <c r="B370" s="478" t="s">
        <v>67</v>
      </c>
      <c r="C370" s="475"/>
      <c r="D370" s="476"/>
      <c r="E370" s="477"/>
      <c r="F370" s="477"/>
      <c r="G370" s="477"/>
      <c r="H370" s="475"/>
    </row>
    <row r="371" spans="1:8" ht="15.75">
      <c r="A371" s="310">
        <v>4</v>
      </c>
      <c r="B371" s="478" t="s">
        <v>97</v>
      </c>
      <c r="C371" s="482"/>
      <c r="D371" s="476"/>
      <c r="E371" s="483"/>
      <c r="F371" s="477"/>
      <c r="G371" s="484"/>
      <c r="H371" s="475"/>
    </row>
    <row r="372" spans="1:8" ht="15">
      <c r="A372" s="310">
        <v>6</v>
      </c>
      <c r="B372" s="417" t="s">
        <v>79</v>
      </c>
      <c r="C372" s="404"/>
      <c r="D372" s="418"/>
      <c r="E372" s="419"/>
      <c r="F372" s="419"/>
      <c r="G372" s="419"/>
      <c r="H372" s="352"/>
    </row>
    <row r="373" spans="1:8" ht="15">
      <c r="A373" s="310">
        <v>7</v>
      </c>
      <c r="B373" s="417" t="s">
        <v>82</v>
      </c>
      <c r="C373" s="404"/>
      <c r="D373" s="418"/>
      <c r="E373" s="419"/>
      <c r="F373" s="419"/>
      <c r="G373" s="419"/>
      <c r="H373" s="352"/>
    </row>
    <row r="374" spans="1:8" ht="15">
      <c r="A374" s="310">
        <v>8</v>
      </c>
      <c r="B374" s="417" t="s">
        <v>89</v>
      </c>
      <c r="C374" s="404"/>
      <c r="D374" s="418"/>
      <c r="E374" s="419"/>
      <c r="F374" s="419"/>
      <c r="G374" s="419"/>
      <c r="H374" s="352"/>
    </row>
    <row r="375" spans="1:8" ht="15.75">
      <c r="A375" s="1103" t="s">
        <v>129</v>
      </c>
      <c r="B375" s="1104"/>
      <c r="C375" s="738"/>
      <c r="D375" s="739"/>
      <c r="E375" s="738"/>
      <c r="F375" s="738"/>
      <c r="G375" s="738">
        <f>SUM(G367:G374)</f>
        <v>0</v>
      </c>
      <c r="H375" s="738"/>
    </row>
    <row r="376" spans="2:8" ht="15">
      <c r="B376" s="139"/>
      <c r="C376" s="435"/>
      <c r="D376" s="436"/>
      <c r="E376" s="437"/>
      <c r="F376" s="434"/>
      <c r="G376" s="434"/>
      <c r="H376" s="436"/>
    </row>
    <row r="377" spans="1:8" ht="27.75">
      <c r="A377" s="1113" t="s">
        <v>0</v>
      </c>
      <c r="B377" s="1114"/>
      <c r="C377" s="1114"/>
      <c r="D377" s="1114"/>
      <c r="E377" s="1114"/>
      <c r="F377" s="1114"/>
      <c r="G377" s="1114"/>
      <c r="H377" s="1114"/>
    </row>
    <row r="378" spans="1:8" ht="21.75">
      <c r="A378" s="1109" t="s">
        <v>274</v>
      </c>
      <c r="B378" s="1110"/>
      <c r="C378" s="1110"/>
      <c r="D378" s="1110"/>
      <c r="E378" s="1110"/>
      <c r="F378" s="1110"/>
      <c r="G378" s="1110"/>
      <c r="H378" s="1110"/>
    </row>
    <row r="379" spans="1:8" ht="21">
      <c r="A379" s="1111" t="s">
        <v>383</v>
      </c>
      <c r="B379" s="1112"/>
      <c r="C379" s="1112"/>
      <c r="D379" s="1112"/>
      <c r="E379" s="1112"/>
      <c r="F379" s="1112"/>
      <c r="G379" s="1112"/>
      <c r="H379" s="1112"/>
    </row>
    <row r="380" spans="2:8" ht="15.75">
      <c r="B380" s="92"/>
      <c r="C380" s="438"/>
      <c r="D380" s="3"/>
      <c r="E380" s="439"/>
      <c r="F380" s="93"/>
      <c r="G380" s="5"/>
      <c r="H380" s="5"/>
    </row>
    <row r="381" spans="1:8" ht="15">
      <c r="A381" s="1099" t="s">
        <v>4</v>
      </c>
      <c r="B381" s="1101" t="s">
        <v>5</v>
      </c>
      <c r="C381" s="735" t="s">
        <v>6</v>
      </c>
      <c r="D381" s="735" t="s">
        <v>7</v>
      </c>
      <c r="E381" s="735" t="s">
        <v>8</v>
      </c>
      <c r="F381" s="735" t="s">
        <v>9</v>
      </c>
      <c r="G381" s="735" t="s">
        <v>10</v>
      </c>
      <c r="H381" s="735" t="s">
        <v>11</v>
      </c>
    </row>
    <row r="382" spans="1:8" ht="15">
      <c r="A382" s="1100"/>
      <c r="B382" s="1102"/>
      <c r="C382" s="736" t="s">
        <v>268</v>
      </c>
      <c r="D382" s="736" t="s">
        <v>12</v>
      </c>
      <c r="E382" s="736" t="s">
        <v>13</v>
      </c>
      <c r="F382" s="737" t="s">
        <v>14</v>
      </c>
      <c r="G382" s="737" t="s">
        <v>14</v>
      </c>
      <c r="H382" s="736" t="s">
        <v>15</v>
      </c>
    </row>
    <row r="383" spans="1:8" ht="15" customHeight="1">
      <c r="A383" s="311">
        <v>1</v>
      </c>
      <c r="B383" s="370" t="s">
        <v>59</v>
      </c>
      <c r="C383" s="366"/>
      <c r="D383" s="366"/>
      <c r="E383" s="374">
        <f>E10</f>
        <v>404</v>
      </c>
      <c r="F383" s="375">
        <f>F10</f>
        <v>85595730</v>
      </c>
      <c r="G383" s="375">
        <f>G10</f>
        <v>31847924</v>
      </c>
      <c r="H383" s="366"/>
    </row>
    <row r="384" spans="1:8" ht="15" customHeight="1">
      <c r="A384" s="311">
        <v>2</v>
      </c>
      <c r="B384" s="440" t="s">
        <v>259</v>
      </c>
      <c r="C384" s="366">
        <f aca="true" t="shared" si="35" ref="C384:H384">C17</f>
        <v>3</v>
      </c>
      <c r="D384" s="366">
        <f t="shared" si="35"/>
        <v>706.25</v>
      </c>
      <c r="E384" s="375">
        <f t="shared" si="35"/>
        <v>980523</v>
      </c>
      <c r="F384" s="375">
        <f t="shared" si="35"/>
        <v>1961046000</v>
      </c>
      <c r="G384" s="375">
        <f t="shared" si="35"/>
        <v>151931050</v>
      </c>
      <c r="H384" s="366">
        <f t="shared" si="35"/>
        <v>1500</v>
      </c>
    </row>
    <row r="385" spans="1:8" ht="15" customHeight="1">
      <c r="A385" s="311">
        <v>3</v>
      </c>
      <c r="B385" s="370" t="s">
        <v>33</v>
      </c>
      <c r="C385" s="366">
        <f aca="true" t="shared" si="36" ref="C385:H385">C29</f>
        <v>17</v>
      </c>
      <c r="D385" s="366">
        <f t="shared" si="36"/>
        <v>2247.1428</v>
      </c>
      <c r="E385" s="375">
        <f t="shared" si="36"/>
        <v>533116</v>
      </c>
      <c r="F385" s="375">
        <f t="shared" si="36"/>
        <v>431243948</v>
      </c>
      <c r="G385" s="366">
        <f t="shared" si="36"/>
        <v>47182205</v>
      </c>
      <c r="H385" s="366">
        <f t="shared" si="36"/>
        <v>954</v>
      </c>
    </row>
    <row r="386" spans="1:8" ht="15" customHeight="1">
      <c r="A386" s="311">
        <v>4</v>
      </c>
      <c r="B386" s="440" t="s">
        <v>55</v>
      </c>
      <c r="C386" s="366">
        <f aca="true" t="shared" si="37" ref="C386:H386">C39</f>
        <v>7</v>
      </c>
      <c r="D386" s="366">
        <f t="shared" si="37"/>
        <v>6757.925</v>
      </c>
      <c r="E386" s="375">
        <f t="shared" si="37"/>
        <v>8632179</v>
      </c>
      <c r="F386" s="375">
        <f t="shared" si="37"/>
        <v>18416100800</v>
      </c>
      <c r="G386" s="366">
        <f t="shared" si="37"/>
        <v>8380019862</v>
      </c>
      <c r="H386" s="366">
        <f t="shared" si="37"/>
        <v>5952</v>
      </c>
    </row>
    <row r="387" spans="1:8" ht="15" customHeight="1">
      <c r="A387" s="311">
        <v>5</v>
      </c>
      <c r="B387" s="440" t="s">
        <v>91</v>
      </c>
      <c r="C387" s="366"/>
      <c r="D387" s="366"/>
      <c r="E387" s="366">
        <f>E47</f>
        <v>169530</v>
      </c>
      <c r="F387" s="366">
        <f>F47</f>
        <v>0</v>
      </c>
      <c r="G387" s="366"/>
      <c r="H387" s="366"/>
    </row>
    <row r="388" spans="1:8" ht="15" customHeight="1">
      <c r="A388" s="311">
        <v>6</v>
      </c>
      <c r="B388" s="440" t="s">
        <v>57</v>
      </c>
      <c r="C388" s="366"/>
      <c r="D388" s="366"/>
      <c r="E388" s="366">
        <f>E55</f>
        <v>1478922</v>
      </c>
      <c r="F388" s="366">
        <f>F55</f>
        <v>0</v>
      </c>
      <c r="G388" s="366"/>
      <c r="H388" s="366"/>
    </row>
    <row r="389" spans="1:8" ht="15" customHeight="1">
      <c r="A389" s="311">
        <v>7</v>
      </c>
      <c r="B389" s="370" t="s">
        <v>366</v>
      </c>
      <c r="C389" s="366"/>
      <c r="D389" s="366"/>
      <c r="E389" s="375">
        <f>E68</f>
        <v>285</v>
      </c>
      <c r="F389" s="375">
        <f>F68</f>
        <v>15454796185</v>
      </c>
      <c r="G389" s="366">
        <f>G68</f>
        <v>1017221948</v>
      </c>
      <c r="H389" s="366"/>
    </row>
    <row r="390" spans="1:8" ht="15" customHeight="1">
      <c r="A390" s="311">
        <v>8</v>
      </c>
      <c r="B390" s="440" t="s">
        <v>38</v>
      </c>
      <c r="C390" s="366">
        <f aca="true" t="shared" si="38" ref="C390:H390">C60</f>
        <v>1</v>
      </c>
      <c r="D390" s="366">
        <f t="shared" si="38"/>
        <v>18.898</v>
      </c>
      <c r="E390" s="375">
        <f t="shared" si="38"/>
        <v>4987</v>
      </c>
      <c r="F390" s="375">
        <f t="shared" si="38"/>
        <v>12467500</v>
      </c>
      <c r="G390" s="375">
        <f t="shared" si="38"/>
        <v>838000</v>
      </c>
      <c r="H390" s="366">
        <f t="shared" si="38"/>
        <v>70</v>
      </c>
    </row>
    <row r="391" spans="1:8" ht="15" customHeight="1">
      <c r="A391" s="311">
        <v>9</v>
      </c>
      <c r="B391" s="440" t="s">
        <v>16</v>
      </c>
      <c r="C391" s="366">
        <f>C74</f>
        <v>0</v>
      </c>
      <c r="D391" s="366">
        <f>D74</f>
        <v>0</v>
      </c>
      <c r="E391" s="375"/>
      <c r="F391" s="375"/>
      <c r="G391" s="375"/>
      <c r="H391" s="366">
        <f>H74</f>
        <v>0</v>
      </c>
    </row>
    <row r="392" spans="1:8" ht="15" customHeight="1">
      <c r="A392" s="311">
        <v>10</v>
      </c>
      <c r="B392" s="441" t="s">
        <v>66</v>
      </c>
      <c r="C392" s="366">
        <f aca="true" t="shared" si="39" ref="C392:H392">C82</f>
        <v>91</v>
      </c>
      <c r="D392" s="366">
        <f t="shared" si="39"/>
        <v>5303.75</v>
      </c>
      <c r="E392" s="375">
        <f t="shared" si="39"/>
        <v>2474187</v>
      </c>
      <c r="F392" s="375">
        <f t="shared" si="39"/>
        <v>1360802850</v>
      </c>
      <c r="G392" s="375">
        <f t="shared" si="39"/>
        <v>85222825</v>
      </c>
      <c r="H392" s="366">
        <f t="shared" si="39"/>
        <v>650</v>
      </c>
    </row>
    <row r="393" spans="1:8" ht="15" customHeight="1">
      <c r="A393" s="311">
        <v>11</v>
      </c>
      <c r="B393" s="370" t="s">
        <v>34</v>
      </c>
      <c r="C393" s="366">
        <f aca="true" t="shared" si="40" ref="C393:H393">C90</f>
        <v>2</v>
      </c>
      <c r="D393" s="366">
        <f t="shared" si="40"/>
        <v>34.589</v>
      </c>
      <c r="E393" s="375">
        <f t="shared" si="40"/>
        <v>6735</v>
      </c>
      <c r="F393" s="375">
        <f t="shared" si="40"/>
        <v>3704250</v>
      </c>
      <c r="G393" s="375">
        <f t="shared" si="40"/>
        <v>229000</v>
      </c>
      <c r="H393" s="366">
        <f t="shared" si="40"/>
        <v>22</v>
      </c>
    </row>
    <row r="394" spans="1:8" ht="15" customHeight="1">
      <c r="A394" s="311">
        <v>12</v>
      </c>
      <c r="B394" s="440" t="s">
        <v>31</v>
      </c>
      <c r="C394" s="366">
        <f aca="true" t="shared" si="41" ref="C394:H394">C103</f>
        <v>38</v>
      </c>
      <c r="D394" s="366">
        <f t="shared" si="41"/>
        <v>1158.9988</v>
      </c>
      <c r="E394" s="375">
        <f t="shared" si="41"/>
        <v>62094</v>
      </c>
      <c r="F394" s="375">
        <f t="shared" si="41"/>
        <v>22353840</v>
      </c>
      <c r="G394" s="375">
        <f t="shared" si="41"/>
        <v>4582846</v>
      </c>
      <c r="H394" s="366">
        <f t="shared" si="41"/>
        <v>630</v>
      </c>
    </row>
    <row r="395" spans="1:8" ht="15" customHeight="1">
      <c r="A395" s="311">
        <v>13</v>
      </c>
      <c r="B395" s="440" t="s">
        <v>47</v>
      </c>
      <c r="C395" s="366">
        <f aca="true" t="shared" si="42" ref="C395:H395">C121</f>
        <v>170</v>
      </c>
      <c r="D395" s="366">
        <f t="shared" si="42"/>
        <v>3696.4035999999996</v>
      </c>
      <c r="E395" s="375">
        <f t="shared" si="42"/>
        <v>1719220</v>
      </c>
      <c r="F395" s="375">
        <f t="shared" si="42"/>
        <v>614466302</v>
      </c>
      <c r="G395" s="375">
        <f t="shared" si="42"/>
        <v>45541239</v>
      </c>
      <c r="H395" s="366">
        <f t="shared" si="42"/>
        <v>1294</v>
      </c>
    </row>
    <row r="396" spans="1:8" ht="15" customHeight="1">
      <c r="A396" s="311">
        <v>14</v>
      </c>
      <c r="B396" s="370" t="s">
        <v>39</v>
      </c>
      <c r="C396" s="366">
        <f aca="true" t="shared" si="43" ref="C396:H396">C135</f>
        <v>14</v>
      </c>
      <c r="D396" s="366">
        <f t="shared" si="43"/>
        <v>1147.8922000000002</v>
      </c>
      <c r="E396" s="375">
        <f t="shared" si="43"/>
        <v>896021</v>
      </c>
      <c r="F396" s="375">
        <f t="shared" si="43"/>
        <v>140689700</v>
      </c>
      <c r="G396" s="375">
        <f t="shared" si="43"/>
        <v>21341000</v>
      </c>
      <c r="H396" s="366">
        <f t="shared" si="43"/>
        <v>339</v>
      </c>
    </row>
    <row r="397" spans="1:8" ht="15" customHeight="1">
      <c r="A397" s="311">
        <v>15</v>
      </c>
      <c r="B397" s="440" t="s">
        <v>23</v>
      </c>
      <c r="C397" s="366">
        <f aca="true" t="shared" si="44" ref="C397:H397">C141</f>
        <v>1</v>
      </c>
      <c r="D397" s="366">
        <f t="shared" si="44"/>
        <v>46.32</v>
      </c>
      <c r="E397" s="366">
        <f t="shared" si="44"/>
        <v>0</v>
      </c>
      <c r="F397" s="366">
        <f t="shared" si="44"/>
        <v>0</v>
      </c>
      <c r="G397" s="366">
        <f t="shared" si="44"/>
        <v>185280</v>
      </c>
      <c r="H397" s="366">
        <f t="shared" si="44"/>
        <v>2</v>
      </c>
    </row>
    <row r="398" spans="1:8" ht="15" customHeight="1">
      <c r="A398" s="311">
        <v>16</v>
      </c>
      <c r="B398" s="370" t="s">
        <v>99</v>
      </c>
      <c r="C398" s="366">
        <f aca="true" t="shared" si="45" ref="C398:H398">C148</f>
        <v>1</v>
      </c>
      <c r="D398" s="366">
        <f t="shared" si="45"/>
        <v>5</v>
      </c>
      <c r="E398" s="375">
        <f t="shared" si="45"/>
        <v>0</v>
      </c>
      <c r="F398" s="375">
        <f t="shared" si="45"/>
        <v>0</v>
      </c>
      <c r="G398" s="375">
        <f t="shared" si="45"/>
        <v>0</v>
      </c>
      <c r="H398" s="366">
        <f t="shared" si="45"/>
        <v>0</v>
      </c>
    </row>
    <row r="399" spans="1:8" ht="15" customHeight="1">
      <c r="A399" s="311">
        <v>17</v>
      </c>
      <c r="B399" s="370" t="s">
        <v>70</v>
      </c>
      <c r="C399" s="366">
        <f aca="true" t="shared" si="46" ref="C399:H399">C154</f>
        <v>6</v>
      </c>
      <c r="D399" s="366">
        <f t="shared" si="46"/>
        <v>1084.95</v>
      </c>
      <c r="E399" s="366">
        <f t="shared" si="46"/>
        <v>0</v>
      </c>
      <c r="F399" s="366">
        <f t="shared" si="46"/>
        <v>0</v>
      </c>
      <c r="G399" s="375">
        <f t="shared" si="46"/>
        <v>0</v>
      </c>
      <c r="H399" s="366">
        <f t="shared" si="46"/>
        <v>15</v>
      </c>
    </row>
    <row r="400" spans="1:8" ht="15" customHeight="1">
      <c r="A400" s="311">
        <v>18</v>
      </c>
      <c r="B400" s="442" t="s">
        <v>62</v>
      </c>
      <c r="C400" s="366">
        <f aca="true" t="shared" si="47" ref="C400:H400">C161</f>
        <v>11</v>
      </c>
      <c r="D400" s="366">
        <f t="shared" si="47"/>
        <v>48.5283</v>
      </c>
      <c r="E400" s="375">
        <f t="shared" si="47"/>
        <v>714</v>
      </c>
      <c r="F400" s="375">
        <f t="shared" si="47"/>
        <v>714000</v>
      </c>
      <c r="G400" s="375">
        <f t="shared" si="47"/>
        <v>276810</v>
      </c>
      <c r="H400" s="366">
        <f t="shared" si="47"/>
        <v>12</v>
      </c>
    </row>
    <row r="401" spans="1:8" ht="15" customHeight="1">
      <c r="A401" s="311">
        <v>19</v>
      </c>
      <c r="B401" s="440" t="s">
        <v>48</v>
      </c>
      <c r="C401" s="366">
        <f aca="true" t="shared" si="48" ref="C401:H401">C179</f>
        <v>44</v>
      </c>
      <c r="D401" s="366">
        <f t="shared" si="48"/>
        <v>13570.24</v>
      </c>
      <c r="E401" s="375">
        <f t="shared" si="48"/>
        <v>2717852</v>
      </c>
      <c r="F401" s="375">
        <f t="shared" si="48"/>
        <v>1332105040</v>
      </c>
      <c r="G401" s="375">
        <f t="shared" si="48"/>
        <v>370873877</v>
      </c>
      <c r="H401" s="366">
        <f t="shared" si="48"/>
        <v>871</v>
      </c>
    </row>
    <row r="402" spans="1:8" ht="15" customHeight="1">
      <c r="A402" s="311">
        <v>20</v>
      </c>
      <c r="B402" s="440" t="s">
        <v>80</v>
      </c>
      <c r="C402" s="366">
        <f aca="true" t="shared" si="49" ref="C402:H402">C185</f>
        <v>7</v>
      </c>
      <c r="D402" s="366">
        <f t="shared" si="49"/>
        <v>232.88000000000002</v>
      </c>
      <c r="E402" s="375">
        <f t="shared" si="49"/>
        <v>850</v>
      </c>
      <c r="F402" s="375">
        <f t="shared" si="49"/>
        <v>8921500</v>
      </c>
      <c r="G402" s="375">
        <f t="shared" si="49"/>
        <v>47000</v>
      </c>
      <c r="H402" s="366">
        <f t="shared" si="49"/>
        <v>15</v>
      </c>
    </row>
    <row r="403" spans="1:8" ht="15" customHeight="1">
      <c r="A403" s="311">
        <v>21</v>
      </c>
      <c r="B403" s="440" t="s">
        <v>60</v>
      </c>
      <c r="C403" s="366">
        <f aca="true" t="shared" si="50" ref="C403:H403">C190</f>
        <v>3</v>
      </c>
      <c r="D403" s="366">
        <f t="shared" si="50"/>
        <v>154</v>
      </c>
      <c r="E403" s="366">
        <f t="shared" si="50"/>
        <v>0</v>
      </c>
      <c r="F403" s="366">
        <f t="shared" si="50"/>
        <v>0</v>
      </c>
      <c r="G403" s="366">
        <f t="shared" si="50"/>
        <v>8115</v>
      </c>
      <c r="H403" s="366">
        <f t="shared" si="50"/>
        <v>5</v>
      </c>
    </row>
    <row r="404" spans="1:8" ht="15" customHeight="1">
      <c r="A404" s="311">
        <v>22</v>
      </c>
      <c r="B404" s="440" t="s">
        <v>43</v>
      </c>
      <c r="C404" s="366">
        <f aca="true" t="shared" si="51" ref="C404:H404">C217</f>
        <v>7</v>
      </c>
      <c r="D404" s="366">
        <f t="shared" si="51"/>
        <v>11470.0035</v>
      </c>
      <c r="E404" s="375">
        <f t="shared" si="51"/>
        <v>7365043</v>
      </c>
      <c r="F404" s="375">
        <f t="shared" si="51"/>
        <v>6767097328</v>
      </c>
      <c r="G404" s="375">
        <f t="shared" si="51"/>
        <v>502862717</v>
      </c>
      <c r="H404" s="366">
        <f t="shared" si="51"/>
        <v>699</v>
      </c>
    </row>
    <row r="405" spans="1:8" ht="15" customHeight="1">
      <c r="A405" s="311">
        <v>23</v>
      </c>
      <c r="B405" s="370" t="s">
        <v>27</v>
      </c>
      <c r="C405" s="366">
        <f aca="true" t="shared" si="52" ref="C405:H405">C209</f>
        <v>35</v>
      </c>
      <c r="D405" s="366">
        <f t="shared" si="52"/>
        <v>18064.17</v>
      </c>
      <c r="E405" s="375">
        <f t="shared" si="52"/>
        <v>50289896.519999996</v>
      </c>
      <c r="F405" s="375">
        <f t="shared" si="52"/>
        <v>10517487349</v>
      </c>
      <c r="G405" s="375">
        <f t="shared" si="52"/>
        <v>3319976607</v>
      </c>
      <c r="H405" s="366">
        <f t="shared" si="52"/>
        <v>7593</v>
      </c>
    </row>
    <row r="406" spans="1:8" ht="15" customHeight="1">
      <c r="A406" s="311">
        <v>24</v>
      </c>
      <c r="B406" s="370" t="s">
        <v>24</v>
      </c>
      <c r="C406" s="366">
        <f aca="true" t="shared" si="53" ref="C406:H406">C223</f>
        <v>3</v>
      </c>
      <c r="D406" s="366">
        <f t="shared" si="53"/>
        <v>14.4</v>
      </c>
      <c r="E406" s="375">
        <f t="shared" si="53"/>
        <v>0</v>
      </c>
      <c r="F406" s="375">
        <f t="shared" si="53"/>
        <v>0</v>
      </c>
      <c r="G406" s="375">
        <f t="shared" si="53"/>
        <v>0</v>
      </c>
      <c r="H406" s="366">
        <f t="shared" si="53"/>
        <v>0</v>
      </c>
    </row>
    <row r="407" spans="1:8" ht="15" customHeight="1">
      <c r="A407" s="311">
        <v>25</v>
      </c>
      <c r="B407" s="440" t="s">
        <v>270</v>
      </c>
      <c r="C407" s="366">
        <f aca="true" t="shared" si="54" ref="C407:H407">C230</f>
        <v>14</v>
      </c>
      <c r="D407" s="366">
        <f t="shared" si="54"/>
        <v>116.41</v>
      </c>
      <c r="E407" s="375">
        <f t="shared" si="54"/>
        <v>7184</v>
      </c>
      <c r="F407" s="375">
        <f t="shared" si="54"/>
        <v>10624000</v>
      </c>
      <c r="G407" s="375">
        <f t="shared" si="54"/>
        <v>790872</v>
      </c>
      <c r="H407" s="366">
        <f t="shared" si="54"/>
        <v>100</v>
      </c>
    </row>
    <row r="408" spans="1:8" ht="15" customHeight="1">
      <c r="A408" s="311">
        <v>26</v>
      </c>
      <c r="B408" s="440" t="s">
        <v>61</v>
      </c>
      <c r="C408" s="366">
        <f aca="true" t="shared" si="55" ref="C408:H408">C245</f>
        <v>75</v>
      </c>
      <c r="D408" s="366">
        <f t="shared" si="55"/>
        <v>1528.2731999999999</v>
      </c>
      <c r="E408" s="375">
        <f t="shared" si="55"/>
        <v>1947961.8900000001</v>
      </c>
      <c r="F408" s="375">
        <f t="shared" si="55"/>
        <v>375958698</v>
      </c>
      <c r="G408" s="375">
        <f t="shared" si="55"/>
        <v>63991234</v>
      </c>
      <c r="H408" s="366">
        <f t="shared" si="55"/>
        <v>760</v>
      </c>
    </row>
    <row r="409" spans="1:8" ht="15" customHeight="1">
      <c r="A409" s="311">
        <v>27</v>
      </c>
      <c r="B409" s="370" t="s">
        <v>35</v>
      </c>
      <c r="C409" s="366">
        <f aca="true" t="shared" si="56" ref="C409:H409">C252</f>
        <v>7</v>
      </c>
      <c r="D409" s="366">
        <f t="shared" si="56"/>
        <v>216.354</v>
      </c>
      <c r="E409" s="375">
        <f t="shared" si="56"/>
        <v>21850</v>
      </c>
      <c r="F409" s="375">
        <f t="shared" si="56"/>
        <v>4588500</v>
      </c>
      <c r="G409" s="375">
        <f t="shared" si="56"/>
        <v>909750</v>
      </c>
      <c r="H409" s="366">
        <f t="shared" si="56"/>
        <v>85</v>
      </c>
    </row>
    <row r="410" spans="1:8" ht="15" customHeight="1">
      <c r="A410" s="311">
        <v>28</v>
      </c>
      <c r="B410" s="440" t="s">
        <v>17</v>
      </c>
      <c r="C410" s="366">
        <f aca="true" t="shared" si="57" ref="C410:H410">C274</f>
        <v>1115</v>
      </c>
      <c r="D410" s="366">
        <f t="shared" si="57"/>
        <v>7866.31087</v>
      </c>
      <c r="E410" s="375">
        <f t="shared" si="57"/>
        <v>693715</v>
      </c>
      <c r="F410" s="375">
        <f t="shared" si="57"/>
        <v>182398336</v>
      </c>
      <c r="G410" s="375">
        <f t="shared" si="57"/>
        <v>95697990</v>
      </c>
      <c r="H410" s="366">
        <f t="shared" si="57"/>
        <v>7391</v>
      </c>
    </row>
    <row r="411" spans="1:8" ht="15" customHeight="1">
      <c r="A411" s="311">
        <v>29</v>
      </c>
      <c r="B411" s="440" t="s">
        <v>21</v>
      </c>
      <c r="C411" s="366">
        <f aca="true" t="shared" si="58" ref="C411:H411">C289</f>
        <v>1114</v>
      </c>
      <c r="D411" s="366">
        <f t="shared" si="58"/>
        <v>6390.194000000001</v>
      </c>
      <c r="E411" s="375">
        <f t="shared" si="58"/>
        <v>2074624.23</v>
      </c>
      <c r="F411" s="375">
        <f t="shared" si="58"/>
        <v>702556859</v>
      </c>
      <c r="G411" s="375">
        <f t="shared" si="58"/>
        <v>112554883</v>
      </c>
      <c r="H411" s="366">
        <f t="shared" si="58"/>
        <v>6277</v>
      </c>
    </row>
    <row r="412" spans="1:8" ht="15" customHeight="1">
      <c r="A412" s="311">
        <v>30</v>
      </c>
      <c r="B412" s="370" t="s">
        <v>111</v>
      </c>
      <c r="C412" s="366">
        <f aca="true" t="shared" si="59" ref="C412:H412">C295</f>
        <v>5</v>
      </c>
      <c r="D412" s="366">
        <f t="shared" si="59"/>
        <v>2533.981</v>
      </c>
      <c r="E412" s="375">
        <f t="shared" si="59"/>
        <v>1439726</v>
      </c>
      <c r="F412" s="375">
        <f t="shared" si="59"/>
        <v>2879452000</v>
      </c>
      <c r="G412" s="375">
        <f t="shared" si="59"/>
        <v>726203000</v>
      </c>
      <c r="H412" s="366">
        <f t="shared" si="59"/>
        <v>1120</v>
      </c>
    </row>
    <row r="413" spans="1:8" ht="15" customHeight="1">
      <c r="A413" s="311">
        <v>31</v>
      </c>
      <c r="B413" s="440" t="s">
        <v>46</v>
      </c>
      <c r="C413" s="366">
        <f aca="true" t="shared" si="60" ref="C413:H413">C302</f>
        <v>4</v>
      </c>
      <c r="D413" s="366">
        <f t="shared" si="60"/>
        <v>933.62</v>
      </c>
      <c r="E413" s="375">
        <f t="shared" si="60"/>
        <v>7034</v>
      </c>
      <c r="F413" s="375">
        <f t="shared" si="60"/>
        <v>8542304</v>
      </c>
      <c r="G413" s="375">
        <f t="shared" si="60"/>
        <v>2300000</v>
      </c>
      <c r="H413" s="366">
        <f t="shared" si="60"/>
        <v>43</v>
      </c>
    </row>
    <row r="414" spans="1:8" ht="15" customHeight="1">
      <c r="A414" s="311">
        <v>32</v>
      </c>
      <c r="B414" s="370" t="s">
        <v>36</v>
      </c>
      <c r="C414" s="366">
        <f aca="true" t="shared" si="61" ref="C414:H414">C320</f>
        <v>71</v>
      </c>
      <c r="D414" s="366">
        <f t="shared" si="61"/>
        <v>1597.1738000000003</v>
      </c>
      <c r="E414" s="375">
        <f t="shared" si="61"/>
        <v>800437.48</v>
      </c>
      <c r="F414" s="375">
        <f t="shared" si="61"/>
        <v>282434627</v>
      </c>
      <c r="G414" s="375">
        <f t="shared" si="61"/>
        <v>30789095</v>
      </c>
      <c r="H414" s="366">
        <f t="shared" si="61"/>
        <v>1094</v>
      </c>
    </row>
    <row r="415" spans="1:8" ht="15" customHeight="1">
      <c r="A415" s="311">
        <v>33</v>
      </c>
      <c r="B415" s="440" t="s">
        <v>275</v>
      </c>
      <c r="C415" s="366">
        <f aca="true" t="shared" si="62" ref="C415:H415">C326</f>
        <v>15</v>
      </c>
      <c r="D415" s="366">
        <f t="shared" si="62"/>
        <v>186.709</v>
      </c>
      <c r="E415" s="375">
        <f t="shared" si="62"/>
        <v>18426</v>
      </c>
      <c r="F415" s="375">
        <f t="shared" si="62"/>
        <v>14740800</v>
      </c>
      <c r="G415" s="375">
        <f t="shared" si="62"/>
        <v>2144006</v>
      </c>
      <c r="H415" s="366">
        <f t="shared" si="62"/>
        <v>30</v>
      </c>
    </row>
    <row r="416" spans="1:8" ht="15" customHeight="1">
      <c r="A416" s="311">
        <v>34</v>
      </c>
      <c r="B416" s="440" t="s">
        <v>273</v>
      </c>
      <c r="C416" s="366"/>
      <c r="D416" s="366"/>
      <c r="E416" s="375"/>
      <c r="F416" s="375"/>
      <c r="G416" s="375">
        <f>G332</f>
        <v>0</v>
      </c>
      <c r="H416" s="366">
        <f>H332</f>
        <v>0</v>
      </c>
    </row>
    <row r="417" spans="1:8" ht="15" customHeight="1">
      <c r="A417" s="311">
        <v>35</v>
      </c>
      <c r="B417" s="370" t="s">
        <v>25</v>
      </c>
      <c r="C417" s="366">
        <f aca="true" t="shared" si="63" ref="C417:H417">C351</f>
        <v>213</v>
      </c>
      <c r="D417" s="366">
        <f t="shared" si="63"/>
        <v>11321.5249</v>
      </c>
      <c r="E417" s="375">
        <f t="shared" si="63"/>
        <v>804647.81</v>
      </c>
      <c r="F417" s="375">
        <f t="shared" si="63"/>
        <v>684422007</v>
      </c>
      <c r="G417" s="375">
        <f t="shared" si="63"/>
        <v>126988433</v>
      </c>
      <c r="H417" s="366">
        <f t="shared" si="63"/>
        <v>6255</v>
      </c>
    </row>
    <row r="418" spans="1:8" ht="15" customHeight="1">
      <c r="A418" s="311">
        <v>36</v>
      </c>
      <c r="B418" s="440" t="s">
        <v>30</v>
      </c>
      <c r="C418" s="366">
        <f aca="true" t="shared" si="64" ref="C418:H418">C356</f>
        <v>2</v>
      </c>
      <c r="D418" s="366">
        <f t="shared" si="64"/>
        <v>9.93</v>
      </c>
      <c r="E418" s="375">
        <f t="shared" si="64"/>
        <v>0</v>
      </c>
      <c r="F418" s="375">
        <f t="shared" si="64"/>
        <v>0</v>
      </c>
      <c r="G418" s="375">
        <f t="shared" si="64"/>
        <v>10000</v>
      </c>
      <c r="H418" s="366">
        <f t="shared" si="64"/>
        <v>0</v>
      </c>
    </row>
    <row r="419" spans="1:8" ht="15" customHeight="1">
      <c r="A419" s="311">
        <v>37</v>
      </c>
      <c r="B419" s="370" t="s">
        <v>22</v>
      </c>
      <c r="C419" s="366">
        <f aca="true" t="shared" si="65" ref="C419:H419">C364</f>
        <v>10</v>
      </c>
      <c r="D419" s="366">
        <f t="shared" si="65"/>
        <v>248.06</v>
      </c>
      <c r="E419" s="375">
        <f t="shared" si="65"/>
        <v>188789</v>
      </c>
      <c r="F419" s="375">
        <f t="shared" si="65"/>
        <v>167807080</v>
      </c>
      <c r="G419" s="375">
        <f t="shared" si="65"/>
        <v>15785000</v>
      </c>
      <c r="H419" s="366">
        <f t="shared" si="65"/>
        <v>248</v>
      </c>
    </row>
    <row r="420" spans="1:8" ht="15" customHeight="1">
      <c r="A420" s="311"/>
      <c r="B420" s="440" t="s">
        <v>41</v>
      </c>
      <c r="C420" s="366"/>
      <c r="D420" s="366"/>
      <c r="E420" s="375"/>
      <c r="F420" s="375"/>
      <c r="G420" s="375">
        <f>G375</f>
        <v>0</v>
      </c>
      <c r="H420" s="366"/>
    </row>
    <row r="421" spans="1:8" ht="22.5" customHeight="1">
      <c r="A421" s="443"/>
      <c r="B421" s="444" t="s">
        <v>129</v>
      </c>
      <c r="C421" s="445">
        <f aca="true" t="shared" si="66" ref="C421:H421">SUM(C383:C420)</f>
        <v>3106</v>
      </c>
      <c r="D421" s="446">
        <f t="shared" si="66"/>
        <v>98710.88197</v>
      </c>
      <c r="E421" s="447">
        <f t="shared" si="66"/>
        <v>85336953.93</v>
      </c>
      <c r="F421" s="447">
        <f t="shared" si="66"/>
        <v>62443117533</v>
      </c>
      <c r="G421" s="447">
        <f t="shared" si="66"/>
        <v>15158352568</v>
      </c>
      <c r="H421" s="445">
        <f t="shared" si="66"/>
        <v>44026</v>
      </c>
    </row>
  </sheetData>
  <sheetProtection password="86A8" sheet="1"/>
  <mergeCells count="125">
    <mergeCell ref="A39:B39"/>
    <mergeCell ref="A32:A33"/>
    <mergeCell ref="B32:B33"/>
    <mergeCell ref="A1:H1"/>
    <mergeCell ref="A2:H2"/>
    <mergeCell ref="A3:H3"/>
    <mergeCell ref="A5:A6"/>
    <mergeCell ref="B5:B6"/>
    <mergeCell ref="A29:B29"/>
    <mergeCell ref="A10:B10"/>
    <mergeCell ref="A13:A14"/>
    <mergeCell ref="B13:B14"/>
    <mergeCell ref="A17:B17"/>
    <mergeCell ref="A20:A21"/>
    <mergeCell ref="B20:B21"/>
    <mergeCell ref="A71:A72"/>
    <mergeCell ref="B71:B72"/>
    <mergeCell ref="A42:A43"/>
    <mergeCell ref="B42:B43"/>
    <mergeCell ref="A47:B47"/>
    <mergeCell ref="A74:B74"/>
    <mergeCell ref="A50:A51"/>
    <mergeCell ref="B50:B51"/>
    <mergeCell ref="A55:B55"/>
    <mergeCell ref="A57:A58"/>
    <mergeCell ref="B57:B58"/>
    <mergeCell ref="A60:B60"/>
    <mergeCell ref="A63:A64"/>
    <mergeCell ref="B63:B64"/>
    <mergeCell ref="A68:B68"/>
    <mergeCell ref="B150:B151"/>
    <mergeCell ref="A121:B121"/>
    <mergeCell ref="A93:A94"/>
    <mergeCell ref="A148:B148"/>
    <mergeCell ref="B93:B94"/>
    <mergeCell ref="A103:B103"/>
    <mergeCell ref="A106:A107"/>
    <mergeCell ref="B106:B107"/>
    <mergeCell ref="A77:A78"/>
    <mergeCell ref="B77:B78"/>
    <mergeCell ref="A82:B82"/>
    <mergeCell ref="A85:A86"/>
    <mergeCell ref="B85:B86"/>
    <mergeCell ref="A90:B90"/>
    <mergeCell ref="A154:B154"/>
    <mergeCell ref="A124:A125"/>
    <mergeCell ref="B124:B125"/>
    <mergeCell ref="A135:B135"/>
    <mergeCell ref="A138:A139"/>
    <mergeCell ref="B138:B139"/>
    <mergeCell ref="A141:B141"/>
    <mergeCell ref="A144:A145"/>
    <mergeCell ref="B144:B145"/>
    <mergeCell ref="A150:A151"/>
    <mergeCell ref="B219:B220"/>
    <mergeCell ref="A185:B185"/>
    <mergeCell ref="A170:A171"/>
    <mergeCell ref="A217:B217"/>
    <mergeCell ref="B170:B171"/>
    <mergeCell ref="A179:B179"/>
    <mergeCell ref="A181:A182"/>
    <mergeCell ref="B181:B182"/>
    <mergeCell ref="A156:A157"/>
    <mergeCell ref="B156:B157"/>
    <mergeCell ref="A161:B161"/>
    <mergeCell ref="A164:A165"/>
    <mergeCell ref="B164:B165"/>
    <mergeCell ref="A167:B167"/>
    <mergeCell ref="A223:B223"/>
    <mergeCell ref="A187:A188"/>
    <mergeCell ref="B187:B188"/>
    <mergeCell ref="A190:B190"/>
    <mergeCell ref="A193:A194"/>
    <mergeCell ref="B193:B194"/>
    <mergeCell ref="A209:B209"/>
    <mergeCell ref="A211:A212"/>
    <mergeCell ref="B211:B212"/>
    <mergeCell ref="A219:A220"/>
    <mergeCell ref="B305:B306"/>
    <mergeCell ref="A274:B274"/>
    <mergeCell ref="A247:A248"/>
    <mergeCell ref="A302:B302"/>
    <mergeCell ref="B247:B248"/>
    <mergeCell ref="A252:B252"/>
    <mergeCell ref="A254:A255"/>
    <mergeCell ref="B254:B255"/>
    <mergeCell ref="A225:A226"/>
    <mergeCell ref="B225:B226"/>
    <mergeCell ref="A230:B230"/>
    <mergeCell ref="A233:A234"/>
    <mergeCell ref="B233:B234"/>
    <mergeCell ref="A245:B245"/>
    <mergeCell ref="A320:B320"/>
    <mergeCell ref="A277:A278"/>
    <mergeCell ref="B277:B278"/>
    <mergeCell ref="A289:B289"/>
    <mergeCell ref="A292:A293"/>
    <mergeCell ref="B292:B293"/>
    <mergeCell ref="A295:B295"/>
    <mergeCell ref="A298:A299"/>
    <mergeCell ref="B298:B299"/>
    <mergeCell ref="A305:A306"/>
    <mergeCell ref="A356:B356"/>
    <mergeCell ref="A335:A336"/>
    <mergeCell ref="A377:H377"/>
    <mergeCell ref="B335:B336"/>
    <mergeCell ref="A351:B351"/>
    <mergeCell ref="A353:A354"/>
    <mergeCell ref="B353:B354"/>
    <mergeCell ref="A322:A323"/>
    <mergeCell ref="B322:B323"/>
    <mergeCell ref="A326:B326"/>
    <mergeCell ref="A329:A330"/>
    <mergeCell ref="B329:B330"/>
    <mergeCell ref="A332:B332"/>
    <mergeCell ref="A381:A382"/>
    <mergeCell ref="B381:B382"/>
    <mergeCell ref="A358:A359"/>
    <mergeCell ref="B358:B359"/>
    <mergeCell ref="A364:B364"/>
    <mergeCell ref="A366:A367"/>
    <mergeCell ref="B366:B367"/>
    <mergeCell ref="A375:B375"/>
    <mergeCell ref="A378:H378"/>
    <mergeCell ref="A379:H379"/>
  </mergeCells>
  <printOptions/>
  <pageMargins left="0.7" right="0.7" top="0.75" bottom="0.75" header="0.3" footer="0.3"/>
  <pageSetup horizontalDpi="600" verticalDpi="600" orientation="portrait" paperSize="9" scale="69" r:id="rId1"/>
  <rowBreaks count="8" manualBreakCount="8">
    <brk id="55" max="255" man="1"/>
    <brk id="121" max="7" man="1"/>
    <brk id="168" max="255" man="1"/>
    <brk id="223" max="255" man="1"/>
    <brk id="274" max="255" man="1"/>
    <brk id="332" max="255" man="1"/>
    <brk id="375" max="255" man="1"/>
    <brk id="4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7"/>
  <sheetViews>
    <sheetView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4.57421875" style="0" customWidth="1"/>
    <col min="2" max="2" width="23.8515625" style="0" customWidth="1"/>
    <col min="3" max="3" width="11.140625" style="0" customWidth="1"/>
    <col min="4" max="4" width="11.7109375" style="0" customWidth="1"/>
    <col min="5" max="5" width="13.28125" style="0" customWidth="1"/>
    <col min="6" max="6" width="15.140625" style="0" customWidth="1"/>
    <col min="7" max="7" width="16.421875" style="0" customWidth="1"/>
    <col min="8" max="8" width="13.7109375" style="0" customWidth="1"/>
  </cols>
  <sheetData>
    <row r="1" spans="1:8" ht="27.75">
      <c r="A1" s="1115" t="s">
        <v>0</v>
      </c>
      <c r="B1" s="1115"/>
      <c r="C1" s="1115"/>
      <c r="D1" s="1115"/>
      <c r="E1" s="1115"/>
      <c r="F1" s="1115"/>
      <c r="G1" s="1115"/>
      <c r="H1" s="1115"/>
    </row>
    <row r="2" spans="1:8" ht="21">
      <c r="A2" s="1116" t="s">
        <v>276</v>
      </c>
      <c r="B2" s="1116"/>
      <c r="C2" s="1116"/>
      <c r="D2" s="1116"/>
      <c r="E2" s="1116"/>
      <c r="F2" s="1116"/>
      <c r="G2" s="1116"/>
      <c r="H2" s="1116"/>
    </row>
    <row r="3" spans="1:8" ht="21">
      <c r="A3" s="1116" t="s">
        <v>379</v>
      </c>
      <c r="B3" s="1116"/>
      <c r="C3" s="1116"/>
      <c r="D3" s="1116"/>
      <c r="E3" s="1116"/>
      <c r="F3" s="1116"/>
      <c r="G3" s="1116"/>
      <c r="H3" s="1116"/>
    </row>
    <row r="4" spans="1:8" ht="21">
      <c r="A4" s="9"/>
      <c r="B4" s="9"/>
      <c r="C4" s="9"/>
      <c r="D4" s="9"/>
      <c r="E4" s="9"/>
      <c r="F4" s="9"/>
      <c r="G4" s="9"/>
      <c r="H4" s="9"/>
    </row>
    <row r="5" spans="1:8" ht="21">
      <c r="A5" s="9"/>
      <c r="B5" s="8"/>
      <c r="C5" s="9"/>
      <c r="D5" s="448" t="s">
        <v>141</v>
      </c>
      <c r="E5" s="9"/>
      <c r="F5" s="9"/>
      <c r="G5" s="9"/>
      <c r="H5" s="9"/>
    </row>
    <row r="6" spans="1:8" ht="15">
      <c r="A6" s="1099" t="s">
        <v>4</v>
      </c>
      <c r="B6" s="1101" t="s">
        <v>114</v>
      </c>
      <c r="C6" s="735" t="s">
        <v>6</v>
      </c>
      <c r="D6" s="735" t="s">
        <v>7</v>
      </c>
      <c r="E6" s="735" t="s">
        <v>8</v>
      </c>
      <c r="F6" s="735" t="s">
        <v>9</v>
      </c>
      <c r="G6" s="735" t="s">
        <v>10</v>
      </c>
      <c r="H6" s="735" t="s">
        <v>11</v>
      </c>
    </row>
    <row r="7" spans="1:8" ht="15">
      <c r="A7" s="1100"/>
      <c r="B7" s="1102"/>
      <c r="C7" s="746" t="s">
        <v>268</v>
      </c>
      <c r="D7" s="746" t="s">
        <v>277</v>
      </c>
      <c r="E7" s="746" t="s">
        <v>13</v>
      </c>
      <c r="F7" s="737" t="s">
        <v>391</v>
      </c>
      <c r="G7" s="737" t="s">
        <v>391</v>
      </c>
      <c r="H7" s="746" t="s">
        <v>15</v>
      </c>
    </row>
    <row r="8" spans="1:8" ht="15">
      <c r="A8" s="310">
        <v>1</v>
      </c>
      <c r="B8" s="401" t="s">
        <v>163</v>
      </c>
      <c r="C8" s="553">
        <v>4</v>
      </c>
      <c r="D8" s="554">
        <v>4.01</v>
      </c>
      <c r="E8" s="555">
        <v>10160</v>
      </c>
      <c r="F8" s="553">
        <v>8128000</v>
      </c>
      <c r="G8" s="555">
        <v>851170</v>
      </c>
      <c r="H8" s="556">
        <v>14</v>
      </c>
    </row>
    <row r="9" spans="1:8" ht="15">
      <c r="A9" s="310">
        <v>2</v>
      </c>
      <c r="B9" s="401" t="s">
        <v>42</v>
      </c>
      <c r="C9" s="366">
        <v>28</v>
      </c>
      <c r="D9" s="366">
        <v>115.66</v>
      </c>
      <c r="E9" s="556">
        <v>170366</v>
      </c>
      <c r="F9" s="557">
        <v>170900840</v>
      </c>
      <c r="G9" s="375">
        <v>15603000</v>
      </c>
      <c r="H9" s="375">
        <v>410</v>
      </c>
    </row>
    <row r="10" spans="1:8" ht="15">
      <c r="A10" s="1118" t="s">
        <v>129</v>
      </c>
      <c r="B10" s="1119"/>
      <c r="C10" s="750">
        <f aca="true" t="shared" si="0" ref="C10:H10">SUM(C8:C9)</f>
        <v>32</v>
      </c>
      <c r="D10" s="751">
        <f t="shared" si="0"/>
        <v>119.67</v>
      </c>
      <c r="E10" s="752">
        <f t="shared" si="0"/>
        <v>180526</v>
      </c>
      <c r="F10" s="750">
        <f t="shared" si="0"/>
        <v>179028840</v>
      </c>
      <c r="G10" s="752">
        <f t="shared" si="0"/>
        <v>16454170</v>
      </c>
      <c r="H10" s="752">
        <f t="shared" si="0"/>
        <v>424</v>
      </c>
    </row>
    <row r="11" spans="1:8" ht="15">
      <c r="A11" s="7"/>
      <c r="B11" s="7"/>
      <c r="C11" s="7"/>
      <c r="D11" s="7"/>
      <c r="E11" s="7"/>
      <c r="F11" s="7"/>
      <c r="G11" s="7"/>
      <c r="H11" s="7"/>
    </row>
    <row r="12" spans="1:8" ht="15">
      <c r="A12" s="7"/>
      <c r="B12" s="7"/>
      <c r="C12" s="7"/>
      <c r="D12" s="448" t="s">
        <v>134</v>
      </c>
      <c r="E12" s="7"/>
      <c r="F12" s="7"/>
      <c r="G12" s="7"/>
      <c r="H12" s="7"/>
    </row>
    <row r="13" spans="1:8" ht="15">
      <c r="A13" s="1099" t="s">
        <v>4</v>
      </c>
      <c r="B13" s="1101" t="s">
        <v>114</v>
      </c>
      <c r="C13" s="735" t="s">
        <v>6</v>
      </c>
      <c r="D13" s="735" t="s">
        <v>7</v>
      </c>
      <c r="E13" s="735" t="s">
        <v>8</v>
      </c>
      <c r="F13" s="735" t="s">
        <v>9</v>
      </c>
      <c r="G13" s="735" t="s">
        <v>10</v>
      </c>
      <c r="H13" s="735" t="s">
        <v>11</v>
      </c>
    </row>
    <row r="14" spans="1:8" ht="15">
      <c r="A14" s="1100"/>
      <c r="B14" s="1102"/>
      <c r="C14" s="746" t="s">
        <v>268</v>
      </c>
      <c r="D14" s="746" t="s">
        <v>277</v>
      </c>
      <c r="E14" s="746" t="s">
        <v>13</v>
      </c>
      <c r="F14" s="737" t="s">
        <v>391</v>
      </c>
      <c r="G14" s="737" t="s">
        <v>391</v>
      </c>
      <c r="H14" s="746" t="s">
        <v>15</v>
      </c>
    </row>
    <row r="15" spans="1:8" ht="15">
      <c r="A15" s="310">
        <v>1</v>
      </c>
      <c r="B15" s="401" t="s">
        <v>20</v>
      </c>
      <c r="C15" s="366"/>
      <c r="D15" s="374"/>
      <c r="E15" s="366">
        <v>382276</v>
      </c>
      <c r="F15" s="375">
        <v>401389800</v>
      </c>
      <c r="G15" s="375">
        <v>8741743</v>
      </c>
      <c r="H15" s="366">
        <v>710</v>
      </c>
    </row>
    <row r="16" spans="1:8" ht="15">
      <c r="A16" s="310">
        <v>2</v>
      </c>
      <c r="B16" s="401" t="s">
        <v>32</v>
      </c>
      <c r="C16" s="366"/>
      <c r="D16" s="366"/>
      <c r="E16" s="366">
        <v>1200000</v>
      </c>
      <c r="F16" s="375">
        <v>1200000000</v>
      </c>
      <c r="G16" s="375">
        <v>25684595</v>
      </c>
      <c r="H16" s="366">
        <v>11000</v>
      </c>
    </row>
    <row r="17" spans="1:8" ht="15">
      <c r="A17" s="310">
        <v>3</v>
      </c>
      <c r="B17" s="558" t="s">
        <v>138</v>
      </c>
      <c r="C17" s="366"/>
      <c r="D17" s="366"/>
      <c r="E17" s="375">
        <v>35550</v>
      </c>
      <c r="F17" s="366">
        <v>1599750</v>
      </c>
      <c r="G17" s="375">
        <v>83900</v>
      </c>
      <c r="H17" s="375">
        <v>465</v>
      </c>
    </row>
    <row r="18" spans="1:8" ht="15">
      <c r="A18" s="310">
        <v>4</v>
      </c>
      <c r="B18" s="401" t="s">
        <v>37</v>
      </c>
      <c r="C18" s="366"/>
      <c r="D18" s="366"/>
      <c r="E18" s="375">
        <v>29333</v>
      </c>
      <c r="F18" s="366">
        <v>1466650</v>
      </c>
      <c r="G18" s="375">
        <v>528000</v>
      </c>
      <c r="H18" s="375"/>
    </row>
    <row r="19" spans="1:8" ht="15">
      <c r="A19" s="310">
        <v>5</v>
      </c>
      <c r="B19" s="401" t="s">
        <v>42</v>
      </c>
      <c r="C19" s="366"/>
      <c r="D19" s="366"/>
      <c r="E19" s="556"/>
      <c r="F19" s="557"/>
      <c r="G19" s="375">
        <v>54000</v>
      </c>
      <c r="H19" s="375"/>
    </row>
    <row r="20" spans="1:8" ht="15">
      <c r="A20" s="310">
        <v>6</v>
      </c>
      <c r="B20" s="401" t="s">
        <v>49</v>
      </c>
      <c r="C20" s="366"/>
      <c r="D20" s="374"/>
      <c r="E20" s="559">
        <v>1489702.5</v>
      </c>
      <c r="F20" s="560">
        <v>26814645</v>
      </c>
      <c r="G20" s="375">
        <v>26814645</v>
      </c>
      <c r="H20" s="375">
        <v>1000</v>
      </c>
    </row>
    <row r="21" spans="1:8" ht="15">
      <c r="A21" s="310">
        <v>7</v>
      </c>
      <c r="B21" s="401" t="s">
        <v>54</v>
      </c>
      <c r="C21" s="366"/>
      <c r="D21" s="374"/>
      <c r="E21" s="375">
        <v>1294874</v>
      </c>
      <c r="F21" s="366">
        <v>258974800</v>
      </c>
      <c r="G21" s="375">
        <v>6473118</v>
      </c>
      <c r="H21" s="375">
        <v>1210</v>
      </c>
    </row>
    <row r="22" spans="1:8" ht="15">
      <c r="A22" s="310">
        <v>8</v>
      </c>
      <c r="B22" s="401" t="s">
        <v>65</v>
      </c>
      <c r="C22" s="366">
        <v>10</v>
      </c>
      <c r="D22" s="374">
        <v>6.5</v>
      </c>
      <c r="E22" s="375">
        <v>869948</v>
      </c>
      <c r="F22" s="366">
        <v>1043937600</v>
      </c>
      <c r="G22" s="375">
        <v>17500992</v>
      </c>
      <c r="H22" s="375">
        <v>550</v>
      </c>
    </row>
    <row r="23" spans="1:8" ht="15">
      <c r="A23" s="310">
        <v>9</v>
      </c>
      <c r="B23" s="401" t="s">
        <v>68</v>
      </c>
      <c r="C23" s="366"/>
      <c r="D23" s="366"/>
      <c r="E23" s="375">
        <v>77830</v>
      </c>
      <c r="F23" s="366">
        <v>9339600</v>
      </c>
      <c r="G23" s="375">
        <v>2084280</v>
      </c>
      <c r="H23" s="375">
        <v>180</v>
      </c>
    </row>
    <row r="24" spans="1:8" ht="15">
      <c r="A24" s="310">
        <v>10</v>
      </c>
      <c r="B24" s="401" t="s">
        <v>161</v>
      </c>
      <c r="C24" s="366"/>
      <c r="D24" s="374"/>
      <c r="E24" s="375">
        <v>544425</v>
      </c>
      <c r="F24" s="366">
        <v>381097500</v>
      </c>
      <c r="G24" s="375">
        <v>9564000</v>
      </c>
      <c r="H24" s="375">
        <v>720</v>
      </c>
    </row>
    <row r="25" spans="1:8" ht="15">
      <c r="A25" s="310">
        <v>11</v>
      </c>
      <c r="B25" s="401" t="s">
        <v>75</v>
      </c>
      <c r="C25" s="366"/>
      <c r="D25" s="374"/>
      <c r="E25" s="375">
        <v>30550</v>
      </c>
      <c r="F25" s="366">
        <v>12220000</v>
      </c>
      <c r="G25" s="375">
        <v>595000</v>
      </c>
      <c r="H25" s="375"/>
    </row>
    <row r="26" spans="1:8" ht="15">
      <c r="A26" s="310">
        <v>12</v>
      </c>
      <c r="B26" s="401" t="s">
        <v>73</v>
      </c>
      <c r="C26" s="366"/>
      <c r="D26" s="366"/>
      <c r="E26" s="375">
        <v>3700000</v>
      </c>
      <c r="F26" s="366">
        <v>1850000000</v>
      </c>
      <c r="G26" s="375">
        <v>67096000</v>
      </c>
      <c r="H26" s="375">
        <v>6200</v>
      </c>
    </row>
    <row r="27" spans="1:8" ht="15">
      <c r="A27" s="310">
        <v>13</v>
      </c>
      <c r="B27" s="401" t="s">
        <v>81</v>
      </c>
      <c r="C27" s="366">
        <v>9</v>
      </c>
      <c r="D27" s="366">
        <v>9</v>
      </c>
      <c r="E27" s="375"/>
      <c r="F27" s="366"/>
      <c r="G27" s="375">
        <v>60000</v>
      </c>
      <c r="H27" s="375"/>
    </row>
    <row r="28" spans="1:8" ht="15">
      <c r="A28" s="310">
        <v>14</v>
      </c>
      <c r="B28" s="401" t="s">
        <v>167</v>
      </c>
      <c r="C28" s="366"/>
      <c r="D28" s="366"/>
      <c r="E28" s="375"/>
      <c r="F28" s="366"/>
      <c r="G28" s="375">
        <v>161000</v>
      </c>
      <c r="H28" s="375"/>
    </row>
    <row r="29" spans="1:8" ht="15">
      <c r="A29" s="310">
        <v>15</v>
      </c>
      <c r="B29" s="401" t="s">
        <v>84</v>
      </c>
      <c r="C29" s="366"/>
      <c r="D29" s="366"/>
      <c r="E29" s="375">
        <v>1668500</v>
      </c>
      <c r="F29" s="375">
        <v>834250000</v>
      </c>
      <c r="G29" s="375">
        <v>12370000</v>
      </c>
      <c r="H29" s="375">
        <v>0</v>
      </c>
    </row>
    <row r="30" spans="1:8" ht="15">
      <c r="A30" s="310">
        <v>16</v>
      </c>
      <c r="B30" s="401" t="s">
        <v>90</v>
      </c>
      <c r="C30" s="366"/>
      <c r="D30" s="374"/>
      <c r="E30" s="375"/>
      <c r="F30" s="366"/>
      <c r="G30" s="375">
        <v>31000</v>
      </c>
      <c r="H30" s="375"/>
    </row>
    <row r="31" spans="1:8" ht="15">
      <c r="A31" s="310">
        <v>17</v>
      </c>
      <c r="B31" s="401" t="s">
        <v>97</v>
      </c>
      <c r="C31" s="366"/>
      <c r="D31" s="374"/>
      <c r="E31" s="375"/>
      <c r="F31" s="375"/>
      <c r="G31" s="561">
        <v>31318000</v>
      </c>
      <c r="H31" s="375"/>
    </row>
    <row r="32" spans="1:8" ht="15">
      <c r="A32" s="310">
        <v>18</v>
      </c>
      <c r="B32" s="401" t="s">
        <v>102</v>
      </c>
      <c r="C32" s="366"/>
      <c r="D32" s="374"/>
      <c r="E32" s="366"/>
      <c r="F32" s="374"/>
      <c r="G32" s="375"/>
      <c r="H32" s="375"/>
    </row>
    <row r="33" spans="1:8" ht="15">
      <c r="A33" s="310">
        <v>19</v>
      </c>
      <c r="B33" s="401" t="s">
        <v>106</v>
      </c>
      <c r="C33" s="553"/>
      <c r="D33" s="554"/>
      <c r="E33" s="555">
        <v>9418500</v>
      </c>
      <c r="F33" s="553">
        <v>8052817500</v>
      </c>
      <c r="G33" s="555">
        <v>205689000</v>
      </c>
      <c r="H33" s="375">
        <v>6240</v>
      </c>
    </row>
    <row r="34" spans="1:8" ht="15">
      <c r="A34" s="310">
        <v>20</v>
      </c>
      <c r="B34" s="401" t="s">
        <v>105</v>
      </c>
      <c r="C34" s="366"/>
      <c r="D34" s="374"/>
      <c r="E34" s="375">
        <v>140555</v>
      </c>
      <c r="F34" s="375">
        <v>140555000</v>
      </c>
      <c r="G34" s="366">
        <v>2530000</v>
      </c>
      <c r="H34" s="375">
        <v>120</v>
      </c>
    </row>
    <row r="35" spans="1:8" ht="15">
      <c r="A35" s="1118" t="s">
        <v>129</v>
      </c>
      <c r="B35" s="1119"/>
      <c r="C35" s="750">
        <f aca="true" t="shared" si="1" ref="C35:H35">SUM(C15:C34)</f>
        <v>19</v>
      </c>
      <c r="D35" s="751">
        <f t="shared" si="1"/>
        <v>15.5</v>
      </c>
      <c r="E35" s="752">
        <f t="shared" si="1"/>
        <v>20882043.5</v>
      </c>
      <c r="F35" s="750">
        <f t="shared" si="1"/>
        <v>14214462845</v>
      </c>
      <c r="G35" s="752">
        <f t="shared" si="1"/>
        <v>417379273</v>
      </c>
      <c r="H35" s="752">
        <f t="shared" si="1"/>
        <v>28395</v>
      </c>
    </row>
    <row r="36" spans="1:8" ht="15">
      <c r="A36" s="7"/>
      <c r="B36" s="7"/>
      <c r="C36" s="7"/>
      <c r="D36" s="7"/>
      <c r="E36" s="7"/>
      <c r="F36" s="7"/>
      <c r="G36" s="7"/>
      <c r="H36" s="7"/>
    </row>
    <row r="37" spans="1:8" ht="15">
      <c r="A37" s="7"/>
      <c r="B37" s="7"/>
      <c r="C37" s="7"/>
      <c r="D37" s="448" t="s">
        <v>136</v>
      </c>
      <c r="E37" s="7"/>
      <c r="F37" s="7"/>
      <c r="G37" s="7"/>
      <c r="H37" s="7"/>
    </row>
    <row r="38" spans="1:8" ht="15">
      <c r="A38" s="1099" t="s">
        <v>4</v>
      </c>
      <c r="B38" s="1101" t="s">
        <v>114</v>
      </c>
      <c r="C38" s="735" t="s">
        <v>6</v>
      </c>
      <c r="D38" s="735" t="s">
        <v>7</v>
      </c>
      <c r="E38" s="735" t="s">
        <v>8</v>
      </c>
      <c r="F38" s="735" t="s">
        <v>9</v>
      </c>
      <c r="G38" s="735" t="s">
        <v>10</v>
      </c>
      <c r="H38" s="735" t="s">
        <v>11</v>
      </c>
    </row>
    <row r="39" spans="1:8" ht="15">
      <c r="A39" s="1100"/>
      <c r="B39" s="1102"/>
      <c r="C39" s="746" t="s">
        <v>268</v>
      </c>
      <c r="D39" s="746" t="s">
        <v>277</v>
      </c>
      <c r="E39" s="746" t="s">
        <v>13</v>
      </c>
      <c r="F39" s="737" t="s">
        <v>391</v>
      </c>
      <c r="G39" s="737" t="s">
        <v>391</v>
      </c>
      <c r="H39" s="746" t="s">
        <v>15</v>
      </c>
    </row>
    <row r="40" spans="1:8" ht="15">
      <c r="A40" s="310">
        <v>1</v>
      </c>
      <c r="B40" s="401" t="s">
        <v>32</v>
      </c>
      <c r="C40" s="366">
        <v>2</v>
      </c>
      <c r="D40" s="366">
        <v>2</v>
      </c>
      <c r="E40" s="366">
        <v>649</v>
      </c>
      <c r="F40" s="375">
        <v>195000</v>
      </c>
      <c r="G40" s="375">
        <v>76327</v>
      </c>
      <c r="H40" s="366">
        <v>3</v>
      </c>
    </row>
    <row r="41" spans="1:8" ht="15">
      <c r="A41" s="310">
        <v>2</v>
      </c>
      <c r="B41" s="401" t="s">
        <v>49</v>
      </c>
      <c r="C41" s="562">
        <v>1</v>
      </c>
      <c r="D41" s="562">
        <v>0.71</v>
      </c>
      <c r="E41" s="559">
        <v>618</v>
      </c>
      <c r="F41" s="560">
        <v>83430</v>
      </c>
      <c r="G41" s="375">
        <v>37100</v>
      </c>
      <c r="H41" s="375">
        <v>21</v>
      </c>
    </row>
    <row r="42" spans="1:8" ht="15">
      <c r="A42" s="1121" t="s">
        <v>129</v>
      </c>
      <c r="B42" s="1122"/>
      <c r="C42" s="400">
        <f aca="true" t="shared" si="2" ref="C42:H42">SUM(C40:C41)</f>
        <v>3</v>
      </c>
      <c r="D42" s="401">
        <f t="shared" si="2"/>
        <v>2.71</v>
      </c>
      <c r="E42" s="402">
        <f t="shared" si="2"/>
        <v>1267</v>
      </c>
      <c r="F42" s="400">
        <f t="shared" si="2"/>
        <v>278430</v>
      </c>
      <c r="G42" s="402">
        <f t="shared" si="2"/>
        <v>113427</v>
      </c>
      <c r="H42" s="402">
        <f t="shared" si="2"/>
        <v>24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448" t="s">
        <v>170</v>
      </c>
      <c r="E44" s="7"/>
      <c r="F44" s="7"/>
      <c r="G44" s="7"/>
      <c r="H44" s="7"/>
    </row>
    <row r="45" spans="1:8" ht="15" customHeight="1">
      <c r="A45" s="1099" t="s">
        <v>4</v>
      </c>
      <c r="B45" s="1101" t="s">
        <v>114</v>
      </c>
      <c r="C45" s="735" t="s">
        <v>6</v>
      </c>
      <c r="D45" s="735" t="s">
        <v>7</v>
      </c>
      <c r="E45" s="735" t="s">
        <v>8</v>
      </c>
      <c r="F45" s="735" t="s">
        <v>9</v>
      </c>
      <c r="G45" s="735" t="s">
        <v>10</v>
      </c>
      <c r="H45" s="735" t="s">
        <v>11</v>
      </c>
    </row>
    <row r="46" spans="1:8" ht="15">
      <c r="A46" s="1100"/>
      <c r="B46" s="1102"/>
      <c r="C46" s="746" t="s">
        <v>268</v>
      </c>
      <c r="D46" s="746" t="s">
        <v>277</v>
      </c>
      <c r="E46" s="746" t="s">
        <v>13</v>
      </c>
      <c r="F46" s="737" t="s">
        <v>391</v>
      </c>
      <c r="G46" s="737" t="s">
        <v>391</v>
      </c>
      <c r="H46" s="746" t="s">
        <v>15</v>
      </c>
    </row>
    <row r="47" spans="1:8" ht="15">
      <c r="A47" s="310">
        <v>1</v>
      </c>
      <c r="B47" s="401" t="s">
        <v>88</v>
      </c>
      <c r="C47" s="366">
        <v>3</v>
      </c>
      <c r="D47" s="366">
        <v>2.015</v>
      </c>
      <c r="E47" s="375">
        <v>1805</v>
      </c>
      <c r="F47" s="366">
        <v>198550</v>
      </c>
      <c r="G47" s="375">
        <v>564349</v>
      </c>
      <c r="H47" s="375">
        <v>16</v>
      </c>
    </row>
    <row r="48" spans="1:8" ht="15">
      <c r="A48" s="310">
        <v>2</v>
      </c>
      <c r="B48" s="401" t="s">
        <v>90</v>
      </c>
      <c r="C48" s="366">
        <v>37</v>
      </c>
      <c r="D48" s="374">
        <v>24.304</v>
      </c>
      <c r="E48" s="375">
        <v>904246</v>
      </c>
      <c r="F48" s="375">
        <v>271273800</v>
      </c>
      <c r="G48" s="375">
        <v>4192000</v>
      </c>
      <c r="H48" s="375">
        <v>280</v>
      </c>
    </row>
    <row r="49" spans="1:8" ht="15">
      <c r="A49" s="310">
        <v>3</v>
      </c>
      <c r="B49" s="563" t="s">
        <v>94</v>
      </c>
      <c r="C49" s="310"/>
      <c r="D49" s="410"/>
      <c r="E49" s="339"/>
      <c r="F49" s="310"/>
      <c r="G49" s="313"/>
      <c r="H49" s="313"/>
    </row>
    <row r="50" spans="1:8" ht="15">
      <c r="A50" s="1121" t="s">
        <v>129</v>
      </c>
      <c r="B50" s="1122"/>
      <c r="C50" s="400">
        <f aca="true" t="shared" si="3" ref="C50:H50">SUM(C47:C49)</f>
        <v>40</v>
      </c>
      <c r="D50" s="401">
        <f t="shared" si="3"/>
        <v>26.319</v>
      </c>
      <c r="E50" s="402">
        <f t="shared" si="3"/>
        <v>906051</v>
      </c>
      <c r="F50" s="400">
        <f t="shared" si="3"/>
        <v>271472350</v>
      </c>
      <c r="G50" s="402">
        <f t="shared" si="3"/>
        <v>4756349</v>
      </c>
      <c r="H50" s="402">
        <f t="shared" si="3"/>
        <v>296</v>
      </c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448" t="s">
        <v>278</v>
      </c>
      <c r="E52" s="7"/>
      <c r="F52" s="7"/>
      <c r="G52" s="7"/>
      <c r="H52" s="7"/>
    </row>
    <row r="53" spans="1:8" ht="15" customHeight="1">
      <c r="A53" s="1099" t="s">
        <v>4</v>
      </c>
      <c r="B53" s="1101" t="s">
        <v>114</v>
      </c>
      <c r="C53" s="735" t="s">
        <v>6</v>
      </c>
      <c r="D53" s="735" t="s">
        <v>7</v>
      </c>
      <c r="E53" s="735" t="s">
        <v>8</v>
      </c>
      <c r="F53" s="735" t="s">
        <v>9</v>
      </c>
      <c r="G53" s="735" t="s">
        <v>10</v>
      </c>
      <c r="H53" s="735" t="s">
        <v>11</v>
      </c>
    </row>
    <row r="54" spans="1:8" ht="15">
      <c r="A54" s="1100"/>
      <c r="B54" s="1102"/>
      <c r="C54" s="746" t="s">
        <v>268</v>
      </c>
      <c r="D54" s="746" t="s">
        <v>277</v>
      </c>
      <c r="E54" s="746" t="s">
        <v>13</v>
      </c>
      <c r="F54" s="737" t="s">
        <v>391</v>
      </c>
      <c r="G54" s="737" t="s">
        <v>391</v>
      </c>
      <c r="H54" s="746" t="s">
        <v>15</v>
      </c>
    </row>
    <row r="55" spans="1:8" ht="15">
      <c r="A55" s="310">
        <v>1</v>
      </c>
      <c r="B55" s="401" t="s">
        <v>54</v>
      </c>
      <c r="C55" s="366">
        <v>1</v>
      </c>
      <c r="D55" s="374">
        <v>1</v>
      </c>
      <c r="E55" s="375"/>
      <c r="F55" s="366"/>
      <c r="G55" s="375">
        <v>5500</v>
      </c>
      <c r="H55" s="375"/>
    </row>
    <row r="56" spans="1:8" ht="15">
      <c r="A56" s="310">
        <v>2</v>
      </c>
      <c r="B56" s="401" t="s">
        <v>42</v>
      </c>
      <c r="C56" s="366">
        <v>18</v>
      </c>
      <c r="D56" s="366">
        <v>44.28</v>
      </c>
      <c r="E56" s="556">
        <v>24702</v>
      </c>
      <c r="F56" s="557">
        <v>44463600</v>
      </c>
      <c r="G56" s="375">
        <v>563000</v>
      </c>
      <c r="H56" s="375">
        <v>1840</v>
      </c>
    </row>
    <row r="57" spans="1:8" ht="15">
      <c r="A57" s="310">
        <v>3</v>
      </c>
      <c r="B57" s="401" t="s">
        <v>65</v>
      </c>
      <c r="C57" s="366">
        <v>1</v>
      </c>
      <c r="D57" s="374">
        <v>164</v>
      </c>
      <c r="E57" s="564">
        <v>3000</v>
      </c>
      <c r="F57" s="564">
        <v>900000</v>
      </c>
      <c r="G57" s="375">
        <v>230496</v>
      </c>
      <c r="H57" s="375">
        <v>3</v>
      </c>
    </row>
    <row r="58" spans="1:8" ht="15">
      <c r="A58" s="310">
        <v>4</v>
      </c>
      <c r="B58" s="401" t="s">
        <v>155</v>
      </c>
      <c r="C58" s="366"/>
      <c r="D58" s="374"/>
      <c r="E58" s="375"/>
      <c r="F58" s="366"/>
      <c r="G58" s="375">
        <v>1483450</v>
      </c>
      <c r="H58" s="375"/>
    </row>
    <row r="59" spans="1:8" ht="15">
      <c r="A59" s="310">
        <v>5</v>
      </c>
      <c r="B59" s="401" t="s">
        <v>167</v>
      </c>
      <c r="C59" s="366">
        <v>2</v>
      </c>
      <c r="D59" s="366">
        <v>2.39</v>
      </c>
      <c r="E59" s="375">
        <v>19692</v>
      </c>
      <c r="F59" s="366">
        <v>3347640</v>
      </c>
      <c r="G59" s="375">
        <v>256000</v>
      </c>
      <c r="H59" s="375">
        <v>35</v>
      </c>
    </row>
    <row r="60" spans="1:8" ht="15">
      <c r="A60" s="310">
        <v>6</v>
      </c>
      <c r="B60" s="401" t="s">
        <v>88</v>
      </c>
      <c r="C60" s="366">
        <v>1</v>
      </c>
      <c r="D60" s="366">
        <v>0.24</v>
      </c>
      <c r="E60" s="375">
        <v>0</v>
      </c>
      <c r="F60" s="366">
        <v>0</v>
      </c>
      <c r="G60" s="375"/>
      <c r="H60" s="375">
        <v>2</v>
      </c>
    </row>
    <row r="61" spans="1:8" ht="15">
      <c r="A61" s="310">
        <v>7</v>
      </c>
      <c r="B61" s="401" t="s">
        <v>97</v>
      </c>
      <c r="C61" s="366">
        <v>2</v>
      </c>
      <c r="D61" s="374">
        <v>8</v>
      </c>
      <c r="E61" s="375"/>
      <c r="F61" s="375"/>
      <c r="G61" s="561"/>
      <c r="H61" s="375"/>
    </row>
    <row r="62" spans="1:8" ht="15">
      <c r="A62" s="310">
        <v>8</v>
      </c>
      <c r="B62" s="401" t="s">
        <v>71</v>
      </c>
      <c r="C62" s="366">
        <v>2</v>
      </c>
      <c r="D62" s="374">
        <v>2</v>
      </c>
      <c r="E62" s="375"/>
      <c r="F62" s="366"/>
      <c r="G62" s="375">
        <v>16000</v>
      </c>
      <c r="H62" s="375"/>
    </row>
    <row r="63" spans="1:8" ht="15">
      <c r="A63" s="1118" t="s">
        <v>129</v>
      </c>
      <c r="B63" s="1119"/>
      <c r="C63" s="750">
        <f aca="true" t="shared" si="4" ref="C63:H63">SUM(C55:C62)</f>
        <v>27</v>
      </c>
      <c r="D63" s="751">
        <f t="shared" si="4"/>
        <v>221.91</v>
      </c>
      <c r="E63" s="752">
        <f t="shared" si="4"/>
        <v>47394</v>
      </c>
      <c r="F63" s="750">
        <f t="shared" si="4"/>
        <v>48711240</v>
      </c>
      <c r="G63" s="752">
        <f t="shared" si="4"/>
        <v>2554446</v>
      </c>
      <c r="H63" s="752">
        <f t="shared" si="4"/>
        <v>1880</v>
      </c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448" t="s">
        <v>122</v>
      </c>
      <c r="E66" s="7"/>
      <c r="F66" s="7"/>
      <c r="G66" s="7"/>
      <c r="H66" s="7"/>
    </row>
    <row r="67" spans="1:8" ht="15" customHeight="1">
      <c r="A67" s="1099" t="s">
        <v>4</v>
      </c>
      <c r="B67" s="1101" t="s">
        <v>114</v>
      </c>
      <c r="C67" s="735" t="s">
        <v>6</v>
      </c>
      <c r="D67" s="735" t="s">
        <v>7</v>
      </c>
      <c r="E67" s="735" t="s">
        <v>8</v>
      </c>
      <c r="F67" s="735" t="s">
        <v>9</v>
      </c>
      <c r="G67" s="735" t="s">
        <v>10</v>
      </c>
      <c r="H67" s="735" t="s">
        <v>11</v>
      </c>
    </row>
    <row r="68" spans="1:8" ht="15">
      <c r="A68" s="1100"/>
      <c r="B68" s="1102"/>
      <c r="C68" s="746" t="s">
        <v>268</v>
      </c>
      <c r="D68" s="746" t="s">
        <v>277</v>
      </c>
      <c r="E68" s="746" t="s">
        <v>13</v>
      </c>
      <c r="F68" s="737" t="s">
        <v>391</v>
      </c>
      <c r="G68" s="737" t="s">
        <v>391</v>
      </c>
      <c r="H68" s="746" t="s">
        <v>15</v>
      </c>
    </row>
    <row r="69" spans="1:8" ht="15">
      <c r="A69" s="310">
        <v>1</v>
      </c>
      <c r="B69" s="401" t="s">
        <v>3</v>
      </c>
      <c r="C69" s="366">
        <v>45</v>
      </c>
      <c r="D69" s="374">
        <v>129.1121</v>
      </c>
      <c r="E69" s="564">
        <v>52084</v>
      </c>
      <c r="F69" s="560">
        <v>52084000</v>
      </c>
      <c r="G69" s="375">
        <v>11932000</v>
      </c>
      <c r="H69" s="375">
        <v>225</v>
      </c>
    </row>
    <row r="70" spans="1:8" ht="15">
      <c r="A70" s="310">
        <v>2</v>
      </c>
      <c r="B70" s="401" t="s">
        <v>20</v>
      </c>
      <c r="C70" s="366">
        <v>19</v>
      </c>
      <c r="D70" s="374">
        <v>36.47</v>
      </c>
      <c r="E70" s="366">
        <v>60788</v>
      </c>
      <c r="F70" s="375">
        <v>85103200</v>
      </c>
      <c r="G70" s="375">
        <v>9861000</v>
      </c>
      <c r="H70" s="366">
        <v>125</v>
      </c>
    </row>
    <row r="71" spans="1:8" ht="15">
      <c r="A71" s="310">
        <v>3</v>
      </c>
      <c r="B71" s="401" t="s">
        <v>32</v>
      </c>
      <c r="C71" s="366">
        <v>1</v>
      </c>
      <c r="D71" s="366">
        <v>4</v>
      </c>
      <c r="E71" s="366">
        <v>0</v>
      </c>
      <c r="F71" s="375">
        <v>0</v>
      </c>
      <c r="G71" s="375">
        <v>56000</v>
      </c>
      <c r="H71" s="366">
        <v>0</v>
      </c>
    </row>
    <row r="72" spans="1:8" ht="15">
      <c r="A72" s="310">
        <v>4</v>
      </c>
      <c r="B72" s="401" t="s">
        <v>42</v>
      </c>
      <c r="C72" s="366">
        <v>73</v>
      </c>
      <c r="D72" s="366">
        <v>186.13</v>
      </c>
      <c r="E72" s="375">
        <v>173518</v>
      </c>
      <c r="F72" s="366">
        <v>19904300</v>
      </c>
      <c r="G72" s="375">
        <v>8132363</v>
      </c>
      <c r="H72" s="375">
        <v>415</v>
      </c>
    </row>
    <row r="73" spans="1:8" ht="15">
      <c r="A73" s="310">
        <v>5</v>
      </c>
      <c r="B73" s="401" t="s">
        <v>54</v>
      </c>
      <c r="C73" s="366">
        <v>73</v>
      </c>
      <c r="D73" s="374">
        <v>209.35</v>
      </c>
      <c r="E73" s="375">
        <v>61000</v>
      </c>
      <c r="F73" s="366">
        <v>90600000</v>
      </c>
      <c r="G73" s="375">
        <v>37632129</v>
      </c>
      <c r="H73" s="375">
        <v>458</v>
      </c>
    </row>
    <row r="74" spans="1:8" ht="15">
      <c r="A74" s="310">
        <v>6</v>
      </c>
      <c r="B74" s="401" t="s">
        <v>75</v>
      </c>
      <c r="C74" s="366">
        <v>116</v>
      </c>
      <c r="D74" s="374">
        <v>315.52</v>
      </c>
      <c r="E74" s="375">
        <v>304730</v>
      </c>
      <c r="F74" s="366">
        <v>980785000</v>
      </c>
      <c r="G74" s="375">
        <v>50040000</v>
      </c>
      <c r="H74" s="375">
        <v>560</v>
      </c>
    </row>
    <row r="75" spans="1:8" ht="15">
      <c r="A75" s="310">
        <v>7</v>
      </c>
      <c r="B75" s="401" t="s">
        <v>73</v>
      </c>
      <c r="C75" s="366">
        <v>5</v>
      </c>
      <c r="D75" s="366">
        <v>10.632</v>
      </c>
      <c r="E75" s="375"/>
      <c r="F75" s="366"/>
      <c r="G75" s="375">
        <v>333000</v>
      </c>
      <c r="H75" s="375">
        <v>4</v>
      </c>
    </row>
    <row r="76" spans="1:8" ht="15">
      <c r="A76" s="310">
        <v>8</v>
      </c>
      <c r="B76" s="401" t="s">
        <v>79</v>
      </c>
      <c r="C76" s="366">
        <v>341</v>
      </c>
      <c r="D76" s="374">
        <v>675.66</v>
      </c>
      <c r="E76" s="564">
        <v>1979344</v>
      </c>
      <c r="F76" s="564">
        <v>2969016000</v>
      </c>
      <c r="G76" s="564">
        <v>115414000</v>
      </c>
      <c r="H76" s="375">
        <v>2451</v>
      </c>
    </row>
    <row r="77" spans="1:8" ht="15">
      <c r="A77" s="310">
        <v>9</v>
      </c>
      <c r="B77" s="401" t="s">
        <v>81</v>
      </c>
      <c r="C77" s="366">
        <v>23</v>
      </c>
      <c r="D77" s="366">
        <v>34.1</v>
      </c>
      <c r="E77" s="375">
        <v>5463</v>
      </c>
      <c r="F77" s="366">
        <v>4370400</v>
      </c>
      <c r="G77" s="375">
        <v>2126000</v>
      </c>
      <c r="H77" s="375">
        <v>75</v>
      </c>
    </row>
    <row r="78" spans="1:8" ht="15">
      <c r="A78" s="310">
        <v>10</v>
      </c>
      <c r="B78" s="401" t="s">
        <v>167</v>
      </c>
      <c r="C78" s="366">
        <v>1</v>
      </c>
      <c r="D78" s="366">
        <v>1</v>
      </c>
      <c r="E78" s="375">
        <v>0</v>
      </c>
      <c r="F78" s="366">
        <v>0</v>
      </c>
      <c r="G78" s="375">
        <v>29000</v>
      </c>
      <c r="H78" s="375">
        <v>0</v>
      </c>
    </row>
    <row r="79" spans="1:8" ht="15">
      <c r="A79" s="310">
        <v>11</v>
      </c>
      <c r="B79" s="401" t="s">
        <v>88</v>
      </c>
      <c r="C79" s="366">
        <v>1</v>
      </c>
      <c r="D79" s="366">
        <v>3</v>
      </c>
      <c r="E79" s="375">
        <v>1416</v>
      </c>
      <c r="F79" s="366">
        <v>0</v>
      </c>
      <c r="G79" s="375">
        <v>75000</v>
      </c>
      <c r="H79" s="375">
        <v>0</v>
      </c>
    </row>
    <row r="80" spans="1:8" ht="15">
      <c r="A80" s="310">
        <v>12</v>
      </c>
      <c r="B80" s="401" t="s">
        <v>90</v>
      </c>
      <c r="C80" s="366">
        <v>4</v>
      </c>
      <c r="D80" s="374">
        <v>8.117</v>
      </c>
      <c r="E80" s="375">
        <v>2000</v>
      </c>
      <c r="F80" s="366">
        <v>3800000</v>
      </c>
      <c r="G80" s="375">
        <v>209000</v>
      </c>
      <c r="H80" s="375">
        <v>45</v>
      </c>
    </row>
    <row r="81" spans="1:8" ht="15">
      <c r="A81" s="310">
        <v>13</v>
      </c>
      <c r="B81" s="401" t="s">
        <v>97</v>
      </c>
      <c r="C81" s="366">
        <v>22</v>
      </c>
      <c r="D81" s="374">
        <v>22.673</v>
      </c>
      <c r="E81" s="375">
        <v>7027</v>
      </c>
      <c r="F81" s="375">
        <v>6324300</v>
      </c>
      <c r="G81" s="561">
        <v>4865000</v>
      </c>
      <c r="H81" s="375">
        <v>25</v>
      </c>
    </row>
    <row r="82" spans="1:8" ht="15">
      <c r="A82" s="310">
        <v>14</v>
      </c>
      <c r="B82" s="401" t="s">
        <v>102</v>
      </c>
      <c r="C82" s="366">
        <v>48</v>
      </c>
      <c r="D82" s="374">
        <v>101.14</v>
      </c>
      <c r="E82" s="375">
        <v>122986</v>
      </c>
      <c r="F82" s="375">
        <v>110687400</v>
      </c>
      <c r="G82" s="375">
        <v>25926000</v>
      </c>
      <c r="H82" s="366">
        <v>755</v>
      </c>
    </row>
    <row r="83" spans="1:8" ht="15">
      <c r="A83" s="310">
        <v>15</v>
      </c>
      <c r="B83" s="401" t="s">
        <v>182</v>
      </c>
      <c r="C83" s="366">
        <v>57</v>
      </c>
      <c r="D83" s="366">
        <v>111</v>
      </c>
      <c r="E83" s="375">
        <v>75200</v>
      </c>
      <c r="F83" s="375">
        <v>45120000</v>
      </c>
      <c r="G83" s="375">
        <v>13160000</v>
      </c>
      <c r="H83" s="366">
        <v>610</v>
      </c>
    </row>
    <row r="84" spans="1:8" ht="15">
      <c r="A84" s="310">
        <v>16</v>
      </c>
      <c r="B84" s="401" t="s">
        <v>105</v>
      </c>
      <c r="C84" s="366"/>
      <c r="D84" s="374"/>
      <c r="E84" s="374"/>
      <c r="F84" s="375"/>
      <c r="G84" s="366"/>
      <c r="H84" s="375"/>
    </row>
    <row r="85" spans="1:8" ht="15">
      <c r="A85" s="310">
        <v>17</v>
      </c>
      <c r="B85" s="401" t="s">
        <v>108</v>
      </c>
      <c r="C85" s="366">
        <v>3</v>
      </c>
      <c r="D85" s="366">
        <v>3.25</v>
      </c>
      <c r="E85" s="375">
        <v>3966</v>
      </c>
      <c r="F85" s="375">
        <v>5949000</v>
      </c>
      <c r="G85" s="366">
        <v>694000</v>
      </c>
      <c r="H85" s="375">
        <v>100</v>
      </c>
    </row>
    <row r="86" spans="1:8" ht="15">
      <c r="A86" s="1118" t="s">
        <v>129</v>
      </c>
      <c r="B86" s="1119"/>
      <c r="C86" s="750">
        <f aca="true" t="shared" si="5" ref="C86:H86">SUM(C69:C85)</f>
        <v>832</v>
      </c>
      <c r="D86" s="751">
        <f t="shared" si="5"/>
        <v>1851.1541</v>
      </c>
      <c r="E86" s="752">
        <f t="shared" si="5"/>
        <v>2849522</v>
      </c>
      <c r="F86" s="752">
        <f t="shared" si="5"/>
        <v>4373743600</v>
      </c>
      <c r="G86" s="752">
        <f t="shared" si="5"/>
        <v>280484492</v>
      </c>
      <c r="H86" s="752">
        <f t="shared" si="5"/>
        <v>5848</v>
      </c>
    </row>
    <row r="87" spans="1:8" ht="15">
      <c r="A87" s="252"/>
      <c r="B87" s="252"/>
      <c r="C87" s="252"/>
      <c r="D87" s="253"/>
      <c r="E87" s="254"/>
      <c r="F87" s="252"/>
      <c r="G87" s="254"/>
      <c r="H87" s="254"/>
    </row>
    <row r="88" spans="1:8" ht="15">
      <c r="A88" s="7"/>
      <c r="B88" s="7"/>
      <c r="C88" s="7"/>
      <c r="D88" s="448" t="s">
        <v>123</v>
      </c>
      <c r="E88" s="7"/>
      <c r="F88" s="7"/>
      <c r="G88" s="7"/>
      <c r="H88" s="7"/>
    </row>
    <row r="89" spans="1:8" ht="15" customHeight="1">
      <c r="A89" s="1099" t="s">
        <v>4</v>
      </c>
      <c r="B89" s="1101" t="s">
        <v>114</v>
      </c>
      <c r="C89" s="735" t="s">
        <v>6</v>
      </c>
      <c r="D89" s="735" t="s">
        <v>7</v>
      </c>
      <c r="E89" s="735" t="s">
        <v>8</v>
      </c>
      <c r="F89" s="735" t="s">
        <v>9</v>
      </c>
      <c r="G89" s="735" t="s">
        <v>10</v>
      </c>
      <c r="H89" s="735" t="s">
        <v>11</v>
      </c>
    </row>
    <row r="90" spans="1:8" ht="15">
      <c r="A90" s="1100"/>
      <c r="B90" s="1102"/>
      <c r="C90" s="746" t="s">
        <v>268</v>
      </c>
      <c r="D90" s="746" t="s">
        <v>277</v>
      </c>
      <c r="E90" s="746" t="s">
        <v>13</v>
      </c>
      <c r="F90" s="737" t="s">
        <v>391</v>
      </c>
      <c r="G90" s="737" t="s">
        <v>391</v>
      </c>
      <c r="H90" s="746" t="s">
        <v>15</v>
      </c>
    </row>
    <row r="91" spans="1:8" ht="15">
      <c r="A91" s="310">
        <v>1</v>
      </c>
      <c r="B91" s="401" t="s">
        <v>3</v>
      </c>
      <c r="C91" s="366"/>
      <c r="D91" s="374"/>
      <c r="E91" s="568">
        <v>185600</v>
      </c>
      <c r="F91" s="557">
        <v>18560000</v>
      </c>
      <c r="G91" s="375">
        <v>1856000</v>
      </c>
      <c r="H91" s="375"/>
    </row>
    <row r="92" spans="1:8" ht="15">
      <c r="A92" s="310">
        <v>2</v>
      </c>
      <c r="B92" s="401" t="s">
        <v>32</v>
      </c>
      <c r="C92" s="366"/>
      <c r="D92" s="366"/>
      <c r="E92" s="374">
        <v>1075000</v>
      </c>
      <c r="F92" s="375">
        <v>430000000</v>
      </c>
      <c r="G92" s="375">
        <v>13473913</v>
      </c>
      <c r="H92" s="366">
        <v>600</v>
      </c>
    </row>
    <row r="93" spans="1:8" ht="15">
      <c r="A93" s="310">
        <v>3</v>
      </c>
      <c r="B93" s="558" t="s">
        <v>138</v>
      </c>
      <c r="C93" s="366"/>
      <c r="D93" s="366"/>
      <c r="E93" s="375">
        <v>45600</v>
      </c>
      <c r="F93" s="366">
        <v>7980000</v>
      </c>
      <c r="G93" s="375">
        <v>109000</v>
      </c>
      <c r="H93" s="375">
        <v>1910</v>
      </c>
    </row>
    <row r="94" spans="1:8" ht="15">
      <c r="A94" s="310">
        <v>4</v>
      </c>
      <c r="B94" s="401" t="s">
        <v>37</v>
      </c>
      <c r="C94" s="366"/>
      <c r="D94" s="366"/>
      <c r="E94" s="375">
        <v>90250</v>
      </c>
      <c r="F94" s="366">
        <v>20306250</v>
      </c>
      <c r="G94" s="375">
        <v>1805000</v>
      </c>
      <c r="H94" s="375">
        <v>90</v>
      </c>
    </row>
    <row r="95" spans="1:8" ht="15">
      <c r="A95" s="310">
        <v>5</v>
      </c>
      <c r="B95" s="401" t="s">
        <v>42</v>
      </c>
      <c r="C95" s="366">
        <v>4</v>
      </c>
      <c r="D95" s="366"/>
      <c r="E95" s="556">
        <v>4192491</v>
      </c>
      <c r="F95" s="560">
        <v>670798560</v>
      </c>
      <c r="G95" s="375">
        <v>81533449</v>
      </c>
      <c r="H95" s="375">
        <v>215</v>
      </c>
    </row>
    <row r="96" spans="1:8" ht="15">
      <c r="A96" s="310">
        <v>6</v>
      </c>
      <c r="B96" s="401" t="s">
        <v>147</v>
      </c>
      <c r="C96" s="366"/>
      <c r="D96" s="366"/>
      <c r="E96" s="375">
        <v>966374</v>
      </c>
      <c r="F96" s="366">
        <v>193274800</v>
      </c>
      <c r="G96" s="375">
        <v>14496000</v>
      </c>
      <c r="H96" s="375">
        <v>700</v>
      </c>
    </row>
    <row r="97" spans="1:8" ht="15">
      <c r="A97" s="310">
        <v>7</v>
      </c>
      <c r="B97" s="401" t="s">
        <v>49</v>
      </c>
      <c r="C97" s="366"/>
      <c r="D97" s="374"/>
      <c r="E97" s="559">
        <v>18921</v>
      </c>
      <c r="F97" s="560">
        <v>473025</v>
      </c>
      <c r="G97" s="375">
        <v>473025</v>
      </c>
      <c r="H97" s="375">
        <v>100</v>
      </c>
    </row>
    <row r="98" spans="1:8" ht="15">
      <c r="A98" s="310">
        <v>8</v>
      </c>
      <c r="B98" s="401" t="s">
        <v>54</v>
      </c>
      <c r="C98" s="366"/>
      <c r="D98" s="374"/>
      <c r="E98" s="375">
        <v>18608431</v>
      </c>
      <c r="F98" s="366">
        <v>1860843100</v>
      </c>
      <c r="G98" s="375">
        <v>186084311</v>
      </c>
      <c r="H98" s="375">
        <v>2725</v>
      </c>
    </row>
    <row r="99" spans="1:8" ht="15">
      <c r="A99" s="310">
        <v>9</v>
      </c>
      <c r="B99" s="401" t="s">
        <v>65</v>
      </c>
      <c r="C99" s="366">
        <v>71</v>
      </c>
      <c r="D99" s="374">
        <v>213.9491</v>
      </c>
      <c r="E99" s="556">
        <v>6725923</v>
      </c>
      <c r="F99" s="557">
        <v>672592300</v>
      </c>
      <c r="G99" s="375">
        <v>134558473</v>
      </c>
      <c r="H99" s="375">
        <v>900</v>
      </c>
    </row>
    <row r="100" spans="1:8" ht="15">
      <c r="A100" s="310">
        <v>10</v>
      </c>
      <c r="B100" s="401" t="s">
        <v>155</v>
      </c>
      <c r="C100" s="366"/>
      <c r="D100" s="374"/>
      <c r="E100" s="375">
        <v>52200</v>
      </c>
      <c r="F100" s="366">
        <v>2610000</v>
      </c>
      <c r="G100" s="375">
        <v>702206</v>
      </c>
      <c r="H100" s="375"/>
    </row>
    <row r="101" spans="1:8" ht="15">
      <c r="A101" s="310">
        <v>11</v>
      </c>
      <c r="B101" s="401" t="s">
        <v>68</v>
      </c>
      <c r="C101" s="366"/>
      <c r="D101" s="366"/>
      <c r="E101" s="375">
        <v>1219447</v>
      </c>
      <c r="F101" s="366">
        <v>170722580</v>
      </c>
      <c r="G101" s="375">
        <v>33206036</v>
      </c>
      <c r="H101" s="375">
        <v>1400</v>
      </c>
    </row>
    <row r="102" spans="1:8" ht="15">
      <c r="A102" s="310">
        <v>12</v>
      </c>
      <c r="B102" s="401" t="s">
        <v>161</v>
      </c>
      <c r="C102" s="366"/>
      <c r="D102" s="374"/>
      <c r="E102" s="375">
        <v>250000</v>
      </c>
      <c r="F102" s="366">
        <v>25000000</v>
      </c>
      <c r="G102" s="375">
        <v>4342000</v>
      </c>
      <c r="H102" s="375"/>
    </row>
    <row r="103" spans="1:8" ht="15">
      <c r="A103" s="310">
        <v>13</v>
      </c>
      <c r="B103" s="401" t="s">
        <v>69</v>
      </c>
      <c r="C103" s="366"/>
      <c r="D103" s="374"/>
      <c r="E103" s="375">
        <v>108722</v>
      </c>
      <c r="F103" s="366">
        <v>16308300</v>
      </c>
      <c r="G103" s="375">
        <v>2174446</v>
      </c>
      <c r="H103" s="375">
        <v>100</v>
      </c>
    </row>
    <row r="104" spans="1:8" ht="15">
      <c r="A104" s="310">
        <v>14</v>
      </c>
      <c r="B104" s="401" t="s">
        <v>71</v>
      </c>
      <c r="C104" s="366"/>
      <c r="D104" s="374"/>
      <c r="E104" s="375">
        <v>1558100</v>
      </c>
      <c r="F104" s="366">
        <v>77905000</v>
      </c>
      <c r="G104" s="375">
        <v>36091034</v>
      </c>
      <c r="H104" s="375">
        <v>250</v>
      </c>
    </row>
    <row r="105" spans="1:8" ht="15">
      <c r="A105" s="310">
        <v>15</v>
      </c>
      <c r="B105" s="401" t="s">
        <v>75</v>
      </c>
      <c r="C105" s="366"/>
      <c r="D105" s="374"/>
      <c r="E105" s="375">
        <v>369500</v>
      </c>
      <c r="F105" s="366">
        <v>36950000</v>
      </c>
      <c r="G105" s="375">
        <v>6710000</v>
      </c>
      <c r="H105" s="375"/>
    </row>
    <row r="106" spans="1:8" ht="15">
      <c r="A106" s="310">
        <v>16</v>
      </c>
      <c r="B106" s="401" t="s">
        <v>73</v>
      </c>
      <c r="C106" s="366"/>
      <c r="D106" s="366"/>
      <c r="E106" s="375">
        <v>2215000</v>
      </c>
      <c r="F106" s="366">
        <v>110750000</v>
      </c>
      <c r="G106" s="375">
        <v>47133000</v>
      </c>
      <c r="H106" s="375">
        <v>6500</v>
      </c>
    </row>
    <row r="107" spans="1:8" ht="15">
      <c r="A107" s="310">
        <v>17</v>
      </c>
      <c r="B107" s="401" t="s">
        <v>79</v>
      </c>
      <c r="C107" s="366"/>
      <c r="D107" s="374"/>
      <c r="E107" s="564">
        <v>48431600</v>
      </c>
      <c r="F107" s="560">
        <v>484316000</v>
      </c>
      <c r="G107" s="564">
        <v>48431600</v>
      </c>
      <c r="H107" s="375">
        <v>1600</v>
      </c>
    </row>
    <row r="108" spans="1:8" ht="15">
      <c r="A108" s="310">
        <v>18</v>
      </c>
      <c r="B108" s="401" t="s">
        <v>163</v>
      </c>
      <c r="C108" s="566"/>
      <c r="D108" s="567"/>
      <c r="E108" s="555">
        <v>1371480</v>
      </c>
      <c r="F108" s="553">
        <v>342870000</v>
      </c>
      <c r="G108" s="555">
        <v>26634877</v>
      </c>
      <c r="H108" s="556">
        <v>600</v>
      </c>
    </row>
    <row r="109" spans="1:8" ht="15">
      <c r="A109" s="310">
        <v>19</v>
      </c>
      <c r="B109" s="401" t="s">
        <v>81</v>
      </c>
      <c r="C109" s="366"/>
      <c r="D109" s="366"/>
      <c r="E109" s="375">
        <v>4357412</v>
      </c>
      <c r="F109" s="366">
        <v>261444720</v>
      </c>
      <c r="G109" s="375">
        <v>76861000</v>
      </c>
      <c r="H109" s="375"/>
    </row>
    <row r="110" spans="1:8" ht="15">
      <c r="A110" s="310">
        <v>20</v>
      </c>
      <c r="B110" s="401" t="s">
        <v>167</v>
      </c>
      <c r="C110" s="366"/>
      <c r="D110" s="366"/>
      <c r="E110" s="43">
        <v>2657150</v>
      </c>
      <c r="F110" s="23">
        <v>398572500</v>
      </c>
      <c r="G110" s="375">
        <v>64883000</v>
      </c>
      <c r="H110" s="375">
        <v>160</v>
      </c>
    </row>
    <row r="111" spans="1:8" ht="15">
      <c r="A111" s="310">
        <v>21</v>
      </c>
      <c r="B111" s="401" t="s">
        <v>83</v>
      </c>
      <c r="C111" s="366"/>
      <c r="D111" s="366"/>
      <c r="E111" s="375">
        <v>680064</v>
      </c>
      <c r="F111" s="375">
        <v>68006400</v>
      </c>
      <c r="G111" s="375">
        <v>12015743</v>
      </c>
      <c r="H111" s="375"/>
    </row>
    <row r="112" spans="1:8" ht="15">
      <c r="A112" s="310">
        <v>22</v>
      </c>
      <c r="B112" s="401" t="s">
        <v>84</v>
      </c>
      <c r="C112" s="366"/>
      <c r="D112" s="366"/>
      <c r="E112" s="375">
        <v>16138600</v>
      </c>
      <c r="F112" s="375">
        <v>1613860000</v>
      </c>
      <c r="G112" s="375">
        <v>161386000</v>
      </c>
      <c r="H112" s="375"/>
    </row>
    <row r="113" spans="1:8" ht="15">
      <c r="A113" s="310">
        <v>23</v>
      </c>
      <c r="B113" s="401" t="s">
        <v>85</v>
      </c>
      <c r="C113" s="366"/>
      <c r="D113" s="374"/>
      <c r="E113" s="375">
        <v>119600</v>
      </c>
      <c r="F113" s="366">
        <v>10700000</v>
      </c>
      <c r="G113" s="375">
        <v>6392000</v>
      </c>
      <c r="H113" s="375">
        <v>350</v>
      </c>
    </row>
    <row r="114" spans="1:8" ht="15">
      <c r="A114" s="310">
        <v>24</v>
      </c>
      <c r="B114" s="401" t="s">
        <v>88</v>
      </c>
      <c r="C114" s="366"/>
      <c r="D114" s="366"/>
      <c r="E114" s="375">
        <v>1139276</v>
      </c>
      <c r="F114" s="366">
        <v>227855220</v>
      </c>
      <c r="G114" s="375">
        <v>22785522</v>
      </c>
      <c r="H114" s="375">
        <v>90</v>
      </c>
    </row>
    <row r="115" spans="1:8" ht="15">
      <c r="A115" s="310">
        <v>25</v>
      </c>
      <c r="B115" s="400" t="s">
        <v>264</v>
      </c>
      <c r="C115" s="366"/>
      <c r="D115" s="366"/>
      <c r="E115" s="375"/>
      <c r="F115" s="366"/>
      <c r="G115" s="375">
        <v>2407000</v>
      </c>
      <c r="H115" s="375"/>
    </row>
    <row r="116" spans="1:8" ht="15">
      <c r="A116" s="310">
        <v>26</v>
      </c>
      <c r="B116" s="401" t="s">
        <v>90</v>
      </c>
      <c r="C116" s="366"/>
      <c r="D116" s="374"/>
      <c r="E116" s="375">
        <v>218700</v>
      </c>
      <c r="F116" s="366">
        <v>21870000</v>
      </c>
      <c r="G116" s="375">
        <v>2187000</v>
      </c>
      <c r="H116" s="375">
        <v>20</v>
      </c>
    </row>
    <row r="117" spans="1:8" ht="15">
      <c r="A117" s="310">
        <v>27</v>
      </c>
      <c r="B117" s="401" t="s">
        <v>93</v>
      </c>
      <c r="C117" s="366"/>
      <c r="D117" s="374"/>
      <c r="E117" s="375">
        <v>176030</v>
      </c>
      <c r="F117" s="366">
        <v>52809000</v>
      </c>
      <c r="G117" s="375">
        <v>4768000</v>
      </c>
      <c r="H117" s="375">
        <v>100</v>
      </c>
    </row>
    <row r="118" spans="1:8" ht="15">
      <c r="A118" s="310">
        <v>28</v>
      </c>
      <c r="B118" s="401" t="s">
        <v>95</v>
      </c>
      <c r="C118" s="366"/>
      <c r="D118" s="374"/>
      <c r="E118" s="375">
        <v>7986</v>
      </c>
      <c r="F118" s="366">
        <v>2359600</v>
      </c>
      <c r="G118" s="375">
        <v>235960</v>
      </c>
      <c r="H118" s="375">
        <v>30</v>
      </c>
    </row>
    <row r="119" spans="1:8" ht="15">
      <c r="A119" s="310">
        <v>29</v>
      </c>
      <c r="B119" s="401" t="s">
        <v>97</v>
      </c>
      <c r="C119" s="366"/>
      <c r="D119" s="374"/>
      <c r="E119" s="375">
        <v>7633150</v>
      </c>
      <c r="F119" s="375">
        <v>1526630000</v>
      </c>
      <c r="G119" s="561">
        <v>152663000</v>
      </c>
      <c r="H119" s="375"/>
    </row>
    <row r="120" spans="1:8" ht="15">
      <c r="A120" s="310">
        <v>30</v>
      </c>
      <c r="B120" s="401" t="s">
        <v>102</v>
      </c>
      <c r="C120" s="366"/>
      <c r="D120" s="374"/>
      <c r="E120" s="366">
        <v>815825</v>
      </c>
      <c r="F120" s="374">
        <v>138690250</v>
      </c>
      <c r="G120" s="375">
        <v>17954180</v>
      </c>
      <c r="H120" s="375">
        <v>840</v>
      </c>
    </row>
    <row r="121" spans="1:8" ht="15">
      <c r="A121" s="310">
        <v>31</v>
      </c>
      <c r="B121" s="401" t="s">
        <v>182</v>
      </c>
      <c r="C121" s="366"/>
      <c r="D121" s="366"/>
      <c r="E121" s="375">
        <v>2410550</v>
      </c>
      <c r="F121" s="375">
        <v>120527500</v>
      </c>
      <c r="G121" s="375">
        <v>48211000</v>
      </c>
      <c r="H121" s="366">
        <v>580</v>
      </c>
    </row>
    <row r="122" spans="1:8" ht="15">
      <c r="A122" s="310">
        <v>32</v>
      </c>
      <c r="B122" s="401" t="s">
        <v>105</v>
      </c>
      <c r="C122" s="366"/>
      <c r="D122" s="374"/>
      <c r="E122" s="375">
        <v>12620320</v>
      </c>
      <c r="F122" s="375">
        <v>631016000</v>
      </c>
      <c r="G122" s="366">
        <v>315508000</v>
      </c>
      <c r="H122" s="375">
        <v>715</v>
      </c>
    </row>
    <row r="123" spans="1:8" ht="15">
      <c r="A123" s="310">
        <v>33</v>
      </c>
      <c r="B123" s="401" t="s">
        <v>108</v>
      </c>
      <c r="C123" s="366"/>
      <c r="D123" s="366"/>
      <c r="E123" s="375">
        <v>5740700</v>
      </c>
      <c r="F123" s="375">
        <v>1722210000</v>
      </c>
      <c r="G123" s="375">
        <v>57407000</v>
      </c>
      <c r="H123" s="375">
        <v>670</v>
      </c>
    </row>
    <row r="124" spans="1:8" ht="15">
      <c r="A124" s="310">
        <v>34</v>
      </c>
      <c r="B124" s="401" t="s">
        <v>20</v>
      </c>
      <c r="C124" s="366"/>
      <c r="D124" s="374"/>
      <c r="E124" s="366">
        <v>3873828</v>
      </c>
      <c r="F124" s="375">
        <v>619812480</v>
      </c>
      <c r="G124" s="375">
        <v>148078266</v>
      </c>
      <c r="H124" s="366">
        <v>9215</v>
      </c>
    </row>
    <row r="125" spans="1:8" ht="15">
      <c r="A125" s="750"/>
      <c r="B125" s="750" t="s">
        <v>129</v>
      </c>
      <c r="C125" s="750">
        <f aca="true" t="shared" si="6" ref="C125:H125">SUM(C91:C124)</f>
        <v>75</v>
      </c>
      <c r="D125" s="750">
        <f t="shared" si="6"/>
        <v>213.9491</v>
      </c>
      <c r="E125" s="750">
        <f t="shared" si="6"/>
        <v>146073830</v>
      </c>
      <c r="F125" s="750">
        <f t="shared" si="6"/>
        <v>12558623585</v>
      </c>
      <c r="G125" s="750">
        <f t="shared" si="6"/>
        <v>1733557041</v>
      </c>
      <c r="H125" s="750">
        <f t="shared" si="6"/>
        <v>30460</v>
      </c>
    </row>
    <row r="126" spans="1:8" s="1086" customFormat="1" ht="15">
      <c r="A126" s="1085"/>
      <c r="B126" s="1085"/>
      <c r="C126" s="1085"/>
      <c r="D126" s="1085"/>
      <c r="E126" s="1085"/>
      <c r="F126" s="1085"/>
      <c r="G126" s="1085"/>
      <c r="H126" s="1085"/>
    </row>
    <row r="127" spans="1:8" ht="15">
      <c r="A127" s="7"/>
      <c r="B127" s="7"/>
      <c r="C127" s="7"/>
      <c r="D127" s="448" t="s">
        <v>146</v>
      </c>
      <c r="E127" s="7"/>
      <c r="F127" s="7"/>
      <c r="G127" s="7"/>
      <c r="H127" s="7"/>
    </row>
    <row r="128" spans="1:8" ht="15" customHeight="1">
      <c r="A128" s="1099" t="s">
        <v>4</v>
      </c>
      <c r="B128" s="1101" t="s">
        <v>114</v>
      </c>
      <c r="C128" s="735" t="s">
        <v>6</v>
      </c>
      <c r="D128" s="735" t="s">
        <v>7</v>
      </c>
      <c r="E128" s="735" t="s">
        <v>8</v>
      </c>
      <c r="F128" s="735" t="s">
        <v>9</v>
      </c>
      <c r="G128" s="735" t="s">
        <v>10</v>
      </c>
      <c r="H128" s="735" t="s">
        <v>11</v>
      </c>
    </row>
    <row r="129" spans="1:8" ht="15">
      <c r="A129" s="1100"/>
      <c r="B129" s="1102"/>
      <c r="C129" s="746" t="s">
        <v>268</v>
      </c>
      <c r="D129" s="746" t="s">
        <v>277</v>
      </c>
      <c r="E129" s="746" t="s">
        <v>13</v>
      </c>
      <c r="F129" s="737" t="s">
        <v>391</v>
      </c>
      <c r="G129" s="737" t="s">
        <v>391</v>
      </c>
      <c r="H129" s="746" t="s">
        <v>15</v>
      </c>
    </row>
    <row r="130" spans="1:8" ht="15">
      <c r="A130" s="310">
        <v>1</v>
      </c>
      <c r="B130" s="449" t="s">
        <v>42</v>
      </c>
      <c r="C130" s="310"/>
      <c r="D130" s="410"/>
      <c r="E130" s="339"/>
      <c r="F130" s="310"/>
      <c r="G130" s="313"/>
      <c r="H130" s="313"/>
    </row>
    <row r="131" spans="1:8" ht="15">
      <c r="A131" s="1118" t="s">
        <v>129</v>
      </c>
      <c r="B131" s="1119"/>
      <c r="C131" s="750">
        <f aca="true" t="shared" si="7" ref="C131:H131">SUM(C130:C130)</f>
        <v>0</v>
      </c>
      <c r="D131" s="751">
        <f t="shared" si="7"/>
        <v>0</v>
      </c>
      <c r="E131" s="752">
        <f t="shared" si="7"/>
        <v>0</v>
      </c>
      <c r="F131" s="750">
        <f t="shared" si="7"/>
        <v>0</v>
      </c>
      <c r="G131" s="752">
        <f t="shared" si="7"/>
        <v>0</v>
      </c>
      <c r="H131" s="752">
        <f t="shared" si="7"/>
        <v>0</v>
      </c>
    </row>
    <row r="132" spans="1:8" ht="15">
      <c r="A132" s="451"/>
      <c r="B132" s="451"/>
      <c r="C132" s="252"/>
      <c r="D132" s="253"/>
      <c r="E132" s="254"/>
      <c r="F132" s="252"/>
      <c r="G132" s="254"/>
      <c r="H132" s="254"/>
    </row>
    <row r="133" spans="1:8" ht="15">
      <c r="A133" s="7"/>
      <c r="B133" s="7"/>
      <c r="C133" s="1083"/>
      <c r="D133" s="448" t="s">
        <v>137</v>
      </c>
      <c r="E133" s="1083"/>
      <c r="F133" s="7"/>
      <c r="G133" s="7"/>
      <c r="H133" s="7"/>
    </row>
    <row r="134" spans="1:8" ht="15" customHeight="1">
      <c r="A134" s="1099" t="s">
        <v>4</v>
      </c>
      <c r="B134" s="1101" t="s">
        <v>114</v>
      </c>
      <c r="C134" s="735" t="s">
        <v>6</v>
      </c>
      <c r="D134" s="735" t="s">
        <v>7</v>
      </c>
      <c r="E134" s="735" t="s">
        <v>8</v>
      </c>
      <c r="F134" s="735" t="s">
        <v>9</v>
      </c>
      <c r="G134" s="735" t="s">
        <v>10</v>
      </c>
      <c r="H134" s="735" t="s">
        <v>11</v>
      </c>
    </row>
    <row r="135" spans="1:8" ht="15">
      <c r="A135" s="1100"/>
      <c r="B135" s="1102"/>
      <c r="C135" s="746" t="s">
        <v>268</v>
      </c>
      <c r="D135" s="746" t="s">
        <v>277</v>
      </c>
      <c r="E135" s="746" t="s">
        <v>13</v>
      </c>
      <c r="F135" s="737" t="s">
        <v>391</v>
      </c>
      <c r="G135" s="737" t="s">
        <v>391</v>
      </c>
      <c r="H135" s="746" t="s">
        <v>15</v>
      </c>
    </row>
    <row r="136" spans="1:8" ht="15">
      <c r="A136" s="310">
        <v>1</v>
      </c>
      <c r="B136" s="401" t="s">
        <v>20</v>
      </c>
      <c r="C136" s="366">
        <v>3</v>
      </c>
      <c r="D136" s="374">
        <v>3.7</v>
      </c>
      <c r="E136" s="366">
        <v>13888</v>
      </c>
      <c r="F136" s="375"/>
      <c r="G136" s="375">
        <v>1229534</v>
      </c>
      <c r="H136" s="366"/>
    </row>
    <row r="137" spans="1:8" ht="15">
      <c r="A137" s="310">
        <v>2</v>
      </c>
      <c r="B137" s="401" t="s">
        <v>32</v>
      </c>
      <c r="C137" s="366"/>
      <c r="D137" s="366"/>
      <c r="E137" s="366"/>
      <c r="F137" s="375"/>
      <c r="G137" s="375">
        <v>5021</v>
      </c>
      <c r="H137" s="366"/>
    </row>
    <row r="138" spans="1:8" ht="15">
      <c r="A138" s="310">
        <v>3</v>
      </c>
      <c r="B138" s="401" t="s">
        <v>37</v>
      </c>
      <c r="C138" s="366">
        <v>6</v>
      </c>
      <c r="D138" s="366">
        <v>6</v>
      </c>
      <c r="E138" s="375">
        <v>7323</v>
      </c>
      <c r="F138" s="366">
        <v>329535</v>
      </c>
      <c r="G138" s="375">
        <v>476000</v>
      </c>
      <c r="H138" s="375">
        <v>45</v>
      </c>
    </row>
    <row r="139" spans="1:8" ht="15">
      <c r="A139" s="310">
        <v>4</v>
      </c>
      <c r="B139" s="401" t="s">
        <v>54</v>
      </c>
      <c r="C139" s="366">
        <v>5</v>
      </c>
      <c r="D139" s="374">
        <v>4.56</v>
      </c>
      <c r="E139" s="375">
        <v>6700</v>
      </c>
      <c r="F139" s="366">
        <v>1340000</v>
      </c>
      <c r="G139" s="375">
        <v>448000</v>
      </c>
      <c r="H139" s="375">
        <v>35</v>
      </c>
    </row>
    <row r="140" spans="1:8" ht="15">
      <c r="A140" s="310">
        <v>5</v>
      </c>
      <c r="B140" s="401" t="s">
        <v>65</v>
      </c>
      <c r="C140" s="366">
        <v>12</v>
      </c>
      <c r="D140" s="374">
        <v>50.29</v>
      </c>
      <c r="E140" s="556">
        <v>28000</v>
      </c>
      <c r="F140" s="557">
        <v>7000000</v>
      </c>
      <c r="G140" s="375">
        <v>1588217</v>
      </c>
      <c r="H140" s="375">
        <v>25</v>
      </c>
    </row>
    <row r="141" spans="1:8" ht="15">
      <c r="A141" s="310">
        <v>6</v>
      </c>
      <c r="B141" s="401" t="s">
        <v>155</v>
      </c>
      <c r="C141" s="366">
        <v>18</v>
      </c>
      <c r="D141" s="374">
        <v>36.3334</v>
      </c>
      <c r="E141" s="375">
        <v>288414</v>
      </c>
      <c r="F141" s="366">
        <v>31725540</v>
      </c>
      <c r="G141" s="375">
        <v>25054896</v>
      </c>
      <c r="H141" s="375">
        <v>284</v>
      </c>
    </row>
    <row r="142" spans="1:8" ht="15">
      <c r="A142" s="310">
        <v>7</v>
      </c>
      <c r="B142" s="401" t="s">
        <v>68</v>
      </c>
      <c r="C142" s="366">
        <v>19</v>
      </c>
      <c r="D142" s="366">
        <v>28.3405</v>
      </c>
      <c r="E142" s="375">
        <v>48100</v>
      </c>
      <c r="F142" s="366">
        <v>10822500</v>
      </c>
      <c r="G142" s="375">
        <v>3932014</v>
      </c>
      <c r="H142" s="375">
        <v>10</v>
      </c>
    </row>
    <row r="143" spans="1:8" ht="15">
      <c r="A143" s="310">
        <v>8</v>
      </c>
      <c r="B143" s="401" t="s">
        <v>71</v>
      </c>
      <c r="C143" s="366">
        <v>44</v>
      </c>
      <c r="D143" s="374">
        <v>5926.48</v>
      </c>
      <c r="E143" s="375">
        <v>1371202</v>
      </c>
      <c r="F143" s="366">
        <v>299380031</v>
      </c>
      <c r="G143" s="375">
        <v>112470713</v>
      </c>
      <c r="H143" s="375">
        <v>747</v>
      </c>
    </row>
    <row r="144" spans="1:8" ht="15">
      <c r="A144" s="310">
        <v>9</v>
      </c>
      <c r="B144" s="401" t="s">
        <v>73</v>
      </c>
      <c r="C144" s="366">
        <v>6</v>
      </c>
      <c r="D144" s="366">
        <v>15.8368</v>
      </c>
      <c r="E144" s="375">
        <v>54500</v>
      </c>
      <c r="F144" s="366">
        <v>16350000</v>
      </c>
      <c r="G144" s="375">
        <v>967000</v>
      </c>
      <c r="H144" s="375">
        <v>80</v>
      </c>
    </row>
    <row r="145" spans="1:8" ht="15">
      <c r="A145" s="310">
        <v>10</v>
      </c>
      <c r="B145" s="401" t="s">
        <v>163</v>
      </c>
      <c r="C145" s="566">
        <v>1</v>
      </c>
      <c r="D145" s="567">
        <v>1</v>
      </c>
      <c r="E145" s="555"/>
      <c r="F145" s="553"/>
      <c r="G145" s="555"/>
      <c r="H145" s="556"/>
    </row>
    <row r="146" spans="1:8" ht="15">
      <c r="A146" s="310">
        <v>11</v>
      </c>
      <c r="B146" s="401" t="s">
        <v>81</v>
      </c>
      <c r="C146" s="366">
        <v>103</v>
      </c>
      <c r="D146" s="366">
        <v>1340.58</v>
      </c>
      <c r="E146" s="375">
        <v>986800</v>
      </c>
      <c r="F146" s="366">
        <v>98680000</v>
      </c>
      <c r="G146" s="375">
        <v>64142000</v>
      </c>
      <c r="H146" s="375">
        <v>668</v>
      </c>
    </row>
    <row r="147" spans="1:8" ht="15">
      <c r="A147" s="310">
        <v>12</v>
      </c>
      <c r="B147" s="401" t="s">
        <v>83</v>
      </c>
      <c r="C147" s="366">
        <v>6</v>
      </c>
      <c r="D147" s="366">
        <v>9.0332</v>
      </c>
      <c r="E147" s="375">
        <v>62227</v>
      </c>
      <c r="F147" s="375">
        <v>9956320</v>
      </c>
      <c r="G147" s="375">
        <v>4047934</v>
      </c>
      <c r="H147" s="375">
        <v>21</v>
      </c>
    </row>
    <row r="148" spans="1:8" ht="15">
      <c r="A148" s="310">
        <v>13</v>
      </c>
      <c r="B148" s="401" t="s">
        <v>84</v>
      </c>
      <c r="C148" s="366">
        <v>6</v>
      </c>
      <c r="D148" s="366">
        <v>387.38</v>
      </c>
      <c r="E148" s="564">
        <v>57538.46</v>
      </c>
      <c r="F148" s="564">
        <v>8629569</v>
      </c>
      <c r="G148" s="375">
        <v>3740000</v>
      </c>
      <c r="H148" s="375">
        <v>190</v>
      </c>
    </row>
    <row r="149" spans="1:8" ht="15">
      <c r="A149" s="310">
        <v>14</v>
      </c>
      <c r="B149" s="401" t="s">
        <v>86</v>
      </c>
      <c r="C149" s="366">
        <v>136</v>
      </c>
      <c r="D149" s="374">
        <v>790</v>
      </c>
      <c r="E149" s="375">
        <v>1769025</v>
      </c>
      <c r="F149" s="366">
        <v>238818375</v>
      </c>
      <c r="G149" s="375">
        <v>110345000</v>
      </c>
      <c r="H149" s="375">
        <v>1355</v>
      </c>
    </row>
    <row r="150" spans="1:8" ht="15">
      <c r="A150" s="310">
        <v>15</v>
      </c>
      <c r="B150" s="401" t="s">
        <v>88</v>
      </c>
      <c r="C150" s="366">
        <v>4</v>
      </c>
      <c r="D150" s="366">
        <v>126.1</v>
      </c>
      <c r="E150" s="375">
        <v>352670</v>
      </c>
      <c r="F150" s="366">
        <v>42320400</v>
      </c>
      <c r="G150" s="375">
        <v>22420655</v>
      </c>
      <c r="H150" s="375"/>
    </row>
    <row r="151" spans="1:8" ht="15">
      <c r="A151" s="310">
        <v>16</v>
      </c>
      <c r="B151" s="400" t="s">
        <v>264</v>
      </c>
      <c r="C151" s="366">
        <v>8</v>
      </c>
      <c r="D151" s="366">
        <v>9.48</v>
      </c>
      <c r="E151" s="375">
        <v>26552</v>
      </c>
      <c r="F151" s="366">
        <v>5044880</v>
      </c>
      <c r="G151" s="375">
        <v>3845000</v>
      </c>
      <c r="H151" s="375">
        <v>16</v>
      </c>
    </row>
    <row r="152" spans="1:8" ht="15">
      <c r="A152" s="310">
        <v>17</v>
      </c>
      <c r="B152" s="401" t="s">
        <v>97</v>
      </c>
      <c r="C152" s="366">
        <v>7</v>
      </c>
      <c r="D152" s="374">
        <v>668.559</v>
      </c>
      <c r="E152" s="375">
        <v>21291</v>
      </c>
      <c r="F152" s="375">
        <v>3725925</v>
      </c>
      <c r="G152" s="561">
        <v>3085000</v>
      </c>
      <c r="H152" s="375">
        <v>30</v>
      </c>
    </row>
    <row r="153" spans="1:8" ht="15">
      <c r="A153" s="310">
        <v>18</v>
      </c>
      <c r="B153" s="401" t="s">
        <v>182</v>
      </c>
      <c r="C153" s="366">
        <v>41</v>
      </c>
      <c r="D153" s="366">
        <v>2439.5</v>
      </c>
      <c r="E153" s="375">
        <v>785877</v>
      </c>
      <c r="F153" s="375">
        <v>176822325</v>
      </c>
      <c r="G153" s="375">
        <v>51082000</v>
      </c>
      <c r="H153" s="366">
        <v>510</v>
      </c>
    </row>
    <row r="154" spans="1:8" ht="15">
      <c r="A154" s="310">
        <v>19</v>
      </c>
      <c r="B154" s="401" t="s">
        <v>108</v>
      </c>
      <c r="C154" s="366">
        <v>10</v>
      </c>
      <c r="D154" s="366">
        <v>16.31</v>
      </c>
      <c r="E154" s="375">
        <v>379923</v>
      </c>
      <c r="F154" s="375">
        <v>208957650</v>
      </c>
      <c r="G154" s="366">
        <v>24695000</v>
      </c>
      <c r="H154" s="375">
        <v>600</v>
      </c>
    </row>
    <row r="155" spans="1:8" ht="15">
      <c r="A155" s="310">
        <v>20</v>
      </c>
      <c r="B155" s="401" t="s">
        <v>102</v>
      </c>
      <c r="C155" s="366">
        <v>9</v>
      </c>
      <c r="D155" s="374">
        <v>14.72</v>
      </c>
      <c r="E155" s="375">
        <v>17222</v>
      </c>
      <c r="F155" s="375">
        <v>2583300</v>
      </c>
      <c r="G155" s="375">
        <v>1118000</v>
      </c>
      <c r="H155" s="366">
        <v>140</v>
      </c>
    </row>
    <row r="156" spans="1:8" ht="15.75">
      <c r="A156" s="310"/>
      <c r="B156" s="452"/>
      <c r="C156" s="475"/>
      <c r="D156" s="492"/>
      <c r="E156" s="477"/>
      <c r="F156" s="477"/>
      <c r="G156" s="477"/>
      <c r="H156" s="475"/>
    </row>
    <row r="157" spans="1:8" ht="15">
      <c r="A157" s="1118" t="s">
        <v>129</v>
      </c>
      <c r="B157" s="1119"/>
      <c r="C157" s="750">
        <f aca="true" t="shared" si="8" ref="C157:H157">SUM(C136:C156)</f>
        <v>444</v>
      </c>
      <c r="D157" s="750">
        <f t="shared" si="8"/>
        <v>11874.202899999997</v>
      </c>
      <c r="E157" s="750">
        <f t="shared" si="8"/>
        <v>6277252.46</v>
      </c>
      <c r="F157" s="750">
        <f t="shared" si="8"/>
        <v>1162486350</v>
      </c>
      <c r="G157" s="750">
        <f t="shared" si="8"/>
        <v>434691984</v>
      </c>
      <c r="H157" s="750">
        <f t="shared" si="8"/>
        <v>4756</v>
      </c>
    </row>
    <row r="158" spans="1:8" ht="15">
      <c r="A158" s="7"/>
      <c r="B158" s="7"/>
      <c r="C158" s="7"/>
      <c r="D158" s="450"/>
      <c r="E158" s="7"/>
      <c r="F158" s="7"/>
      <c r="G158" s="7"/>
      <c r="H158" s="7"/>
    </row>
    <row r="159" spans="1:8" ht="15">
      <c r="A159" s="7"/>
      <c r="B159" s="7"/>
      <c r="C159" s="1083"/>
      <c r="D159" s="448" t="s">
        <v>157</v>
      </c>
      <c r="E159" s="1083"/>
      <c r="F159" s="7"/>
      <c r="G159" s="7"/>
      <c r="H159" s="7"/>
    </row>
    <row r="160" spans="1:8" ht="15" customHeight="1">
      <c r="A160" s="1099" t="s">
        <v>4</v>
      </c>
      <c r="B160" s="1101" t="s">
        <v>114</v>
      </c>
      <c r="C160" s="735" t="s">
        <v>6</v>
      </c>
      <c r="D160" s="735" t="s">
        <v>7</v>
      </c>
      <c r="E160" s="735" t="s">
        <v>8</v>
      </c>
      <c r="F160" s="735" t="s">
        <v>9</v>
      </c>
      <c r="G160" s="735" t="s">
        <v>10</v>
      </c>
      <c r="H160" s="735" t="s">
        <v>11</v>
      </c>
    </row>
    <row r="161" spans="1:8" ht="15">
      <c r="A161" s="1100"/>
      <c r="B161" s="1102"/>
      <c r="C161" s="746" t="s">
        <v>268</v>
      </c>
      <c r="D161" s="746" t="s">
        <v>277</v>
      </c>
      <c r="E161" s="746" t="s">
        <v>13</v>
      </c>
      <c r="F161" s="737" t="s">
        <v>391</v>
      </c>
      <c r="G161" s="737" t="s">
        <v>391</v>
      </c>
      <c r="H161" s="746" t="s">
        <v>15</v>
      </c>
    </row>
    <row r="162" spans="1:8" ht="15">
      <c r="A162" s="310">
        <v>1</v>
      </c>
      <c r="B162" s="401" t="s">
        <v>68</v>
      </c>
      <c r="C162" s="366"/>
      <c r="D162" s="366"/>
      <c r="E162" s="375">
        <v>28727</v>
      </c>
      <c r="F162" s="366">
        <v>18672550</v>
      </c>
      <c r="G162" s="375">
        <v>10313695</v>
      </c>
      <c r="H162" s="375">
        <v>400</v>
      </c>
    </row>
    <row r="163" spans="1:8" ht="15">
      <c r="A163" s="310">
        <v>2</v>
      </c>
      <c r="B163" s="401" t="s">
        <v>75</v>
      </c>
      <c r="C163" s="366">
        <v>445</v>
      </c>
      <c r="D163" s="374">
        <v>445</v>
      </c>
      <c r="E163" s="375">
        <v>280033</v>
      </c>
      <c r="F163" s="366">
        <v>112013200</v>
      </c>
      <c r="G163" s="375">
        <v>33604000</v>
      </c>
      <c r="H163" s="375">
        <v>2630</v>
      </c>
    </row>
    <row r="164" spans="1:8" ht="15">
      <c r="A164" s="310">
        <v>3</v>
      </c>
      <c r="B164" s="401" t="s">
        <v>163</v>
      </c>
      <c r="C164" s="566">
        <v>61</v>
      </c>
      <c r="D164" s="567">
        <v>259.31</v>
      </c>
      <c r="E164" s="555">
        <v>1759296</v>
      </c>
      <c r="F164" s="553">
        <v>1583366400</v>
      </c>
      <c r="G164" s="555">
        <v>9031161</v>
      </c>
      <c r="H164" s="556">
        <v>1795</v>
      </c>
    </row>
    <row r="165" spans="1:8" ht="15">
      <c r="A165" s="310">
        <v>4</v>
      </c>
      <c r="B165" s="401" t="s">
        <v>83</v>
      </c>
      <c r="C165" s="366">
        <v>6</v>
      </c>
      <c r="D165" s="366">
        <v>5.72</v>
      </c>
      <c r="E165" s="375">
        <v>800</v>
      </c>
      <c r="F165" s="375">
        <v>560000</v>
      </c>
      <c r="G165" s="22">
        <v>175750</v>
      </c>
      <c r="H165" s="375">
        <v>5</v>
      </c>
    </row>
    <row r="166" spans="1:8" ht="15">
      <c r="A166" s="310">
        <v>5</v>
      </c>
      <c r="B166" s="401" t="s">
        <v>88</v>
      </c>
      <c r="C166" s="366"/>
      <c r="D166" s="366"/>
      <c r="E166" s="375">
        <v>271765</v>
      </c>
      <c r="F166" s="366"/>
      <c r="G166" s="375">
        <v>55402917</v>
      </c>
      <c r="H166" s="375"/>
    </row>
    <row r="167" spans="1:8" ht="15">
      <c r="A167" s="310">
        <v>6</v>
      </c>
      <c r="B167" s="401" t="s">
        <v>93</v>
      </c>
      <c r="C167" s="366">
        <v>51</v>
      </c>
      <c r="D167" s="374">
        <v>1557.69</v>
      </c>
      <c r="E167" s="375">
        <v>2699375</v>
      </c>
      <c r="F167" s="366">
        <v>4588937500</v>
      </c>
      <c r="G167" s="375">
        <v>495563000</v>
      </c>
      <c r="H167" s="375">
        <v>3606</v>
      </c>
    </row>
    <row r="168" spans="1:8" ht="15">
      <c r="A168" s="310">
        <v>7</v>
      </c>
      <c r="B168" s="401" t="s">
        <v>102</v>
      </c>
      <c r="C168" s="366">
        <v>27</v>
      </c>
      <c r="D168" s="374">
        <v>26.18</v>
      </c>
      <c r="E168" s="375">
        <v>197304</v>
      </c>
      <c r="F168" s="375">
        <v>23676480</v>
      </c>
      <c r="G168" s="375">
        <v>5109000</v>
      </c>
      <c r="H168" s="366">
        <v>780</v>
      </c>
    </row>
    <row r="169" spans="1:8" ht="15">
      <c r="A169" s="1118" t="s">
        <v>129</v>
      </c>
      <c r="B169" s="1119"/>
      <c r="C169" s="750">
        <f aca="true" t="shared" si="9" ref="C169:H169">SUM(C162:C168)</f>
        <v>590</v>
      </c>
      <c r="D169" s="750">
        <f t="shared" si="9"/>
        <v>2293.9</v>
      </c>
      <c r="E169" s="750">
        <f t="shared" si="9"/>
        <v>5237300</v>
      </c>
      <c r="F169" s="750">
        <f t="shared" si="9"/>
        <v>6327226130</v>
      </c>
      <c r="G169" s="750">
        <f t="shared" si="9"/>
        <v>609199523</v>
      </c>
      <c r="H169" s="750">
        <f t="shared" si="9"/>
        <v>9216</v>
      </c>
    </row>
    <row r="170" spans="1:8" ht="15">
      <c r="A170" s="1084"/>
      <c r="B170" s="1084"/>
      <c r="C170" s="1082"/>
      <c r="D170" s="1082"/>
      <c r="E170" s="1082"/>
      <c r="F170" s="1082"/>
      <c r="G170" s="1082"/>
      <c r="H170" s="1082"/>
    </row>
    <row r="171" spans="1:8" ht="15">
      <c r="A171" s="63"/>
      <c r="B171" s="63"/>
      <c r="C171" s="63"/>
      <c r="D171" s="448" t="s">
        <v>124</v>
      </c>
      <c r="E171" s="63"/>
      <c r="F171" s="63"/>
      <c r="G171" s="63"/>
      <c r="H171" s="63"/>
    </row>
    <row r="172" spans="1:8" ht="15" customHeight="1">
      <c r="A172" s="1099" t="s">
        <v>4</v>
      </c>
      <c r="B172" s="1101" t="s">
        <v>114</v>
      </c>
      <c r="C172" s="735" t="s">
        <v>6</v>
      </c>
      <c r="D172" s="735" t="s">
        <v>7</v>
      </c>
      <c r="E172" s="735" t="s">
        <v>8</v>
      </c>
      <c r="F172" s="735" t="s">
        <v>9</v>
      </c>
      <c r="G172" s="735" t="s">
        <v>10</v>
      </c>
      <c r="H172" s="735" t="s">
        <v>11</v>
      </c>
    </row>
    <row r="173" spans="1:8" ht="15">
      <c r="A173" s="1100"/>
      <c r="B173" s="1102"/>
      <c r="C173" s="746" t="s">
        <v>268</v>
      </c>
      <c r="D173" s="746" t="s">
        <v>277</v>
      </c>
      <c r="E173" s="746" t="s">
        <v>13</v>
      </c>
      <c r="F173" s="737" t="s">
        <v>391</v>
      </c>
      <c r="G173" s="737" t="s">
        <v>391</v>
      </c>
      <c r="H173" s="746" t="s">
        <v>15</v>
      </c>
    </row>
    <row r="174" spans="1:8" ht="15">
      <c r="A174" s="310">
        <v>1</v>
      </c>
      <c r="B174" s="401" t="s">
        <v>3</v>
      </c>
      <c r="C174" s="366">
        <v>220</v>
      </c>
      <c r="D174" s="374">
        <v>190.5176</v>
      </c>
      <c r="E174" s="556">
        <v>233715</v>
      </c>
      <c r="F174" s="557">
        <v>233715000</v>
      </c>
      <c r="G174" s="375">
        <v>108649000</v>
      </c>
      <c r="H174" s="375">
        <v>1100</v>
      </c>
    </row>
    <row r="175" spans="1:8" ht="15">
      <c r="A175" s="310">
        <v>2</v>
      </c>
      <c r="B175" s="401" t="s">
        <v>20</v>
      </c>
      <c r="C175" s="366">
        <v>110</v>
      </c>
      <c r="D175" s="374">
        <v>182.87</v>
      </c>
      <c r="E175" s="366">
        <v>1787058</v>
      </c>
      <c r="F175" s="375">
        <v>1644093360</v>
      </c>
      <c r="G175" s="375">
        <v>330882000</v>
      </c>
      <c r="H175" s="366">
        <v>3100</v>
      </c>
    </row>
    <row r="176" spans="1:8" ht="15">
      <c r="A176" s="310">
        <v>3</v>
      </c>
      <c r="B176" s="401" t="s">
        <v>32</v>
      </c>
      <c r="C176" s="366">
        <v>96</v>
      </c>
      <c r="D176" s="366">
        <v>152.1174</v>
      </c>
      <c r="E176" s="366">
        <v>1531838</v>
      </c>
      <c r="F176" s="375">
        <v>752920000</v>
      </c>
      <c r="G176" s="375">
        <v>110892163</v>
      </c>
      <c r="H176" s="366">
        <v>812</v>
      </c>
    </row>
    <row r="177" spans="1:8" ht="15">
      <c r="A177" s="310">
        <v>4</v>
      </c>
      <c r="B177" s="558" t="s">
        <v>138</v>
      </c>
      <c r="C177" s="366">
        <v>11</v>
      </c>
      <c r="D177" s="366">
        <v>37</v>
      </c>
      <c r="E177" s="375">
        <v>2018</v>
      </c>
      <c r="F177" s="366">
        <v>6054000</v>
      </c>
      <c r="G177" s="375">
        <v>3267000</v>
      </c>
      <c r="H177" s="375">
        <v>130</v>
      </c>
    </row>
    <row r="178" spans="1:8" ht="15">
      <c r="A178" s="310">
        <v>5</v>
      </c>
      <c r="B178" s="401" t="s">
        <v>37</v>
      </c>
      <c r="C178" s="366">
        <v>95</v>
      </c>
      <c r="D178" s="366">
        <v>138</v>
      </c>
      <c r="E178" s="375">
        <v>977987</v>
      </c>
      <c r="F178" s="366">
        <v>107568700</v>
      </c>
      <c r="G178" s="375">
        <v>189799000</v>
      </c>
      <c r="H178" s="375">
        <v>1000</v>
      </c>
    </row>
    <row r="179" spans="1:8" ht="15">
      <c r="A179" s="310">
        <v>6</v>
      </c>
      <c r="B179" s="401" t="s">
        <v>54</v>
      </c>
      <c r="C179" s="366">
        <v>24</v>
      </c>
      <c r="D179" s="374">
        <v>47.8</v>
      </c>
      <c r="E179" s="375">
        <v>15500</v>
      </c>
      <c r="F179" s="366">
        <v>15600000</v>
      </c>
      <c r="G179" s="375">
        <v>2557037</v>
      </c>
      <c r="H179" s="375">
        <v>180</v>
      </c>
    </row>
    <row r="180" spans="1:8" ht="15">
      <c r="A180" s="310">
        <v>7</v>
      </c>
      <c r="B180" s="401" t="s">
        <v>65</v>
      </c>
      <c r="C180" s="366">
        <v>60</v>
      </c>
      <c r="D180" s="374">
        <v>138.4913</v>
      </c>
      <c r="E180" s="375">
        <v>123000</v>
      </c>
      <c r="F180" s="366">
        <v>246000000</v>
      </c>
      <c r="G180" s="375">
        <v>24046891</v>
      </c>
      <c r="H180" s="375">
        <v>200</v>
      </c>
    </row>
    <row r="181" spans="1:8" ht="15">
      <c r="A181" s="310">
        <v>8</v>
      </c>
      <c r="B181" s="401" t="s">
        <v>155</v>
      </c>
      <c r="C181" s="366">
        <v>15</v>
      </c>
      <c r="D181" s="374">
        <v>40.1079</v>
      </c>
      <c r="E181" s="375">
        <v>25376</v>
      </c>
      <c r="F181" s="366">
        <v>3030400</v>
      </c>
      <c r="G181" s="375">
        <v>4149991</v>
      </c>
      <c r="H181" s="375">
        <v>121</v>
      </c>
    </row>
    <row r="182" spans="1:8" ht="15">
      <c r="A182" s="310">
        <v>9</v>
      </c>
      <c r="B182" s="401" t="s">
        <v>68</v>
      </c>
      <c r="C182" s="366"/>
      <c r="D182" s="366"/>
      <c r="E182" s="375">
        <v>416</v>
      </c>
      <c r="F182" s="366">
        <v>624000</v>
      </c>
      <c r="G182" s="375">
        <v>3794469</v>
      </c>
      <c r="H182" s="375">
        <v>50</v>
      </c>
    </row>
    <row r="183" spans="1:8" ht="15">
      <c r="A183" s="310">
        <v>10</v>
      </c>
      <c r="B183" s="401" t="s">
        <v>75</v>
      </c>
      <c r="C183" s="366">
        <v>69</v>
      </c>
      <c r="D183" s="374">
        <v>241.29</v>
      </c>
      <c r="E183" s="375">
        <v>87741</v>
      </c>
      <c r="F183" s="366">
        <v>56932800</v>
      </c>
      <c r="G183" s="375">
        <v>14477000</v>
      </c>
      <c r="H183" s="375">
        <v>165</v>
      </c>
    </row>
    <row r="184" spans="1:8" ht="15">
      <c r="A184" s="310">
        <v>11</v>
      </c>
      <c r="B184" s="401" t="s">
        <v>73</v>
      </c>
      <c r="C184" s="366">
        <v>27</v>
      </c>
      <c r="D184" s="366">
        <v>48.585</v>
      </c>
      <c r="E184" s="375">
        <v>351000</v>
      </c>
      <c r="F184" s="366">
        <v>214150000</v>
      </c>
      <c r="G184" s="375">
        <v>52015000</v>
      </c>
      <c r="H184" s="375">
        <v>800</v>
      </c>
    </row>
    <row r="185" spans="1:8" ht="15">
      <c r="A185" s="310">
        <v>12</v>
      </c>
      <c r="B185" s="401" t="s">
        <v>81</v>
      </c>
      <c r="C185" s="366">
        <v>2</v>
      </c>
      <c r="D185" s="366">
        <v>8</v>
      </c>
      <c r="E185" s="375"/>
      <c r="F185" s="366"/>
      <c r="G185" s="375"/>
      <c r="H185" s="564"/>
    </row>
    <row r="186" spans="1:8" ht="15">
      <c r="A186" s="310">
        <v>13</v>
      </c>
      <c r="B186" s="401" t="s">
        <v>84</v>
      </c>
      <c r="C186" s="366">
        <v>11</v>
      </c>
      <c r="D186" s="366">
        <v>8.37</v>
      </c>
      <c r="E186" s="556">
        <v>7721</v>
      </c>
      <c r="F186" s="556">
        <v>6948900</v>
      </c>
      <c r="G186" s="375">
        <v>1467000</v>
      </c>
      <c r="H186" s="375">
        <v>180</v>
      </c>
    </row>
    <row r="187" spans="1:8" ht="15">
      <c r="A187" s="310">
        <v>14</v>
      </c>
      <c r="B187" s="401" t="s">
        <v>85</v>
      </c>
      <c r="C187" s="366"/>
      <c r="D187" s="374"/>
      <c r="E187" s="375">
        <v>745000</v>
      </c>
      <c r="F187" s="366">
        <v>4470000000</v>
      </c>
      <c r="G187" s="375">
        <v>220102000</v>
      </c>
      <c r="H187" s="375">
        <v>11000</v>
      </c>
    </row>
    <row r="188" spans="1:8" ht="15">
      <c r="A188" s="310">
        <v>15</v>
      </c>
      <c r="B188" s="401" t="s">
        <v>86</v>
      </c>
      <c r="C188" s="366">
        <v>3</v>
      </c>
      <c r="D188" s="374">
        <v>3.483</v>
      </c>
      <c r="E188" s="375">
        <v>2195</v>
      </c>
      <c r="F188" s="366">
        <v>1536500</v>
      </c>
      <c r="G188" s="375">
        <v>428000</v>
      </c>
      <c r="H188" s="375">
        <v>97</v>
      </c>
    </row>
    <row r="189" spans="1:8" ht="15">
      <c r="A189" s="310">
        <v>16</v>
      </c>
      <c r="B189" s="401" t="s">
        <v>88</v>
      </c>
      <c r="C189" s="366">
        <v>26</v>
      </c>
      <c r="D189" s="366">
        <v>95.39</v>
      </c>
      <c r="E189" s="375">
        <v>6515</v>
      </c>
      <c r="F189" s="366">
        <v>2931750</v>
      </c>
      <c r="G189" s="375">
        <v>8661002</v>
      </c>
      <c r="H189" s="375">
        <v>35</v>
      </c>
    </row>
    <row r="190" spans="1:8" ht="15">
      <c r="A190" s="310">
        <v>17</v>
      </c>
      <c r="B190" s="400" t="s">
        <v>264</v>
      </c>
      <c r="C190" s="366">
        <v>16</v>
      </c>
      <c r="D190" s="366">
        <v>19</v>
      </c>
      <c r="E190" s="375">
        <v>48250</v>
      </c>
      <c r="F190" s="366">
        <v>14012500</v>
      </c>
      <c r="G190" s="375">
        <v>2532000</v>
      </c>
      <c r="H190" s="375">
        <v>36</v>
      </c>
    </row>
    <row r="191" spans="1:8" ht="15">
      <c r="A191" s="310">
        <v>18</v>
      </c>
      <c r="B191" s="401" t="s">
        <v>89</v>
      </c>
      <c r="C191" s="366">
        <v>598</v>
      </c>
      <c r="D191" s="374">
        <v>842.8091</v>
      </c>
      <c r="E191" s="375">
        <v>6046918</v>
      </c>
      <c r="F191" s="366">
        <v>6953955907</v>
      </c>
      <c r="G191" s="375">
        <v>1179149000</v>
      </c>
      <c r="H191" s="375">
        <v>5980</v>
      </c>
    </row>
    <row r="192" spans="1:8" ht="15">
      <c r="A192" s="310">
        <v>19</v>
      </c>
      <c r="B192" s="401" t="s">
        <v>90</v>
      </c>
      <c r="C192" s="366">
        <v>306</v>
      </c>
      <c r="D192" s="374">
        <v>876.36</v>
      </c>
      <c r="E192" s="375">
        <v>763309</v>
      </c>
      <c r="F192" s="366">
        <v>1297625300</v>
      </c>
      <c r="G192" s="375">
        <v>145867000</v>
      </c>
      <c r="H192" s="375">
        <v>5368</v>
      </c>
    </row>
    <row r="193" spans="1:8" ht="15">
      <c r="A193" s="310">
        <v>20</v>
      </c>
      <c r="B193" s="401" t="s">
        <v>95</v>
      </c>
      <c r="C193" s="366">
        <v>41</v>
      </c>
      <c r="D193" s="559">
        <v>53.86</v>
      </c>
      <c r="E193" s="375">
        <v>129530</v>
      </c>
      <c r="F193" s="366">
        <v>101277000</v>
      </c>
      <c r="G193" s="375">
        <v>23434000</v>
      </c>
      <c r="H193" s="375">
        <v>150</v>
      </c>
    </row>
    <row r="194" spans="1:8" ht="15">
      <c r="A194" s="310">
        <v>21</v>
      </c>
      <c r="B194" s="401" t="s">
        <v>97</v>
      </c>
      <c r="C194" s="366">
        <v>33</v>
      </c>
      <c r="D194" s="374">
        <v>486.865</v>
      </c>
      <c r="E194" s="375">
        <v>136240</v>
      </c>
      <c r="F194" s="375">
        <v>122616000</v>
      </c>
      <c r="G194" s="561">
        <v>22733000</v>
      </c>
      <c r="H194" s="375">
        <v>55</v>
      </c>
    </row>
    <row r="195" spans="1:8" ht="15">
      <c r="A195" s="310">
        <v>22</v>
      </c>
      <c r="B195" s="401" t="s">
        <v>102</v>
      </c>
      <c r="C195" s="366">
        <v>83</v>
      </c>
      <c r="D195" s="374">
        <v>90.11</v>
      </c>
      <c r="E195" s="375">
        <v>622706</v>
      </c>
      <c r="F195" s="375">
        <v>591570700</v>
      </c>
      <c r="G195" s="375">
        <v>52167000</v>
      </c>
      <c r="H195" s="366">
        <v>2480</v>
      </c>
    </row>
    <row r="196" spans="1:8" ht="15">
      <c r="A196" s="310">
        <v>23</v>
      </c>
      <c r="B196" s="401" t="s">
        <v>182</v>
      </c>
      <c r="C196" s="366">
        <v>5</v>
      </c>
      <c r="D196" s="366">
        <v>8</v>
      </c>
      <c r="E196" s="375">
        <v>7900</v>
      </c>
      <c r="F196" s="375">
        <v>2765000</v>
      </c>
      <c r="G196" s="375">
        <v>1354000</v>
      </c>
      <c r="H196" s="366">
        <v>60</v>
      </c>
    </row>
    <row r="197" spans="1:8" ht="15">
      <c r="A197" s="310">
        <v>24</v>
      </c>
      <c r="B197" s="401" t="s">
        <v>108</v>
      </c>
      <c r="C197" s="366">
        <v>92</v>
      </c>
      <c r="D197" s="366">
        <v>133.84</v>
      </c>
      <c r="E197" s="375">
        <v>224954</v>
      </c>
      <c r="F197" s="375">
        <v>269944800</v>
      </c>
      <c r="G197" s="366">
        <v>43866000</v>
      </c>
      <c r="H197" s="375">
        <v>550</v>
      </c>
    </row>
    <row r="198" spans="1:8" ht="15">
      <c r="A198" s="1118" t="s">
        <v>129</v>
      </c>
      <c r="B198" s="1119"/>
      <c r="C198" s="713">
        <f aca="true" t="shared" si="10" ref="C198:H198">SUM(C174:C197)</f>
        <v>1943</v>
      </c>
      <c r="D198" s="754">
        <f t="shared" si="10"/>
        <v>3842.8663</v>
      </c>
      <c r="E198" s="753">
        <f t="shared" si="10"/>
        <v>13876887</v>
      </c>
      <c r="F198" s="713">
        <f t="shared" si="10"/>
        <v>17115872617</v>
      </c>
      <c r="G198" s="753">
        <f t="shared" si="10"/>
        <v>2546289553</v>
      </c>
      <c r="H198" s="753">
        <f t="shared" si="10"/>
        <v>33649</v>
      </c>
    </row>
    <row r="199" spans="1:8" ht="15">
      <c r="A199" s="451"/>
      <c r="B199" s="451"/>
      <c r="C199" s="397"/>
      <c r="D199" s="453"/>
      <c r="E199" s="398"/>
      <c r="F199" s="397"/>
      <c r="G199" s="398"/>
      <c r="H199" s="398"/>
    </row>
    <row r="200" spans="1:8" ht="15">
      <c r="A200" s="173"/>
      <c r="B200" s="173"/>
      <c r="C200" s="173"/>
      <c r="D200" s="448" t="s">
        <v>130</v>
      </c>
      <c r="E200" s="173"/>
      <c r="F200" s="173"/>
      <c r="G200" s="173"/>
      <c r="H200" s="173"/>
    </row>
    <row r="201" spans="1:8" ht="15" customHeight="1">
      <c r="A201" s="1099" t="s">
        <v>4</v>
      </c>
      <c r="B201" s="1101" t="s">
        <v>114</v>
      </c>
      <c r="C201" s="735" t="s">
        <v>6</v>
      </c>
      <c r="D201" s="735" t="s">
        <v>7</v>
      </c>
      <c r="E201" s="735" t="s">
        <v>8</v>
      </c>
      <c r="F201" s="735" t="s">
        <v>9</v>
      </c>
      <c r="G201" s="735" t="s">
        <v>10</v>
      </c>
      <c r="H201" s="735" t="s">
        <v>11</v>
      </c>
    </row>
    <row r="202" spans="1:8" ht="15">
      <c r="A202" s="1100"/>
      <c r="B202" s="1102"/>
      <c r="C202" s="746" t="s">
        <v>268</v>
      </c>
      <c r="D202" s="746" t="s">
        <v>277</v>
      </c>
      <c r="E202" s="746" t="s">
        <v>13</v>
      </c>
      <c r="F202" s="737" t="s">
        <v>391</v>
      </c>
      <c r="G202" s="737" t="s">
        <v>391</v>
      </c>
      <c r="H202" s="746" t="s">
        <v>15</v>
      </c>
    </row>
    <row r="203" spans="1:8" ht="15">
      <c r="A203" s="310">
        <v>1</v>
      </c>
      <c r="B203" s="401" t="s">
        <v>20</v>
      </c>
      <c r="C203" s="366">
        <v>283</v>
      </c>
      <c r="D203" s="374">
        <v>283.87</v>
      </c>
      <c r="E203" s="366">
        <v>3418958</v>
      </c>
      <c r="F203" s="375">
        <v>615412440</v>
      </c>
      <c r="G203" s="375">
        <v>60026034</v>
      </c>
      <c r="H203" s="366">
        <v>6800</v>
      </c>
    </row>
    <row r="204" spans="1:8" ht="15">
      <c r="A204" s="310">
        <v>2</v>
      </c>
      <c r="B204" s="401" t="s">
        <v>42</v>
      </c>
      <c r="C204" s="366">
        <v>293</v>
      </c>
      <c r="D204" s="366">
        <v>292.1</v>
      </c>
      <c r="E204" s="564">
        <v>1157771</v>
      </c>
      <c r="F204" s="557">
        <v>208398780</v>
      </c>
      <c r="G204" s="375">
        <v>49645137</v>
      </c>
      <c r="H204" s="375">
        <v>1740</v>
      </c>
    </row>
    <row r="205" spans="1:8" ht="15">
      <c r="A205" s="310">
        <v>3</v>
      </c>
      <c r="B205" s="401" t="s">
        <v>102</v>
      </c>
      <c r="C205" s="366">
        <v>92</v>
      </c>
      <c r="D205" s="374">
        <v>91.88</v>
      </c>
      <c r="E205" s="375">
        <v>672839</v>
      </c>
      <c r="F205" s="375">
        <v>100925850</v>
      </c>
      <c r="G205" s="375">
        <v>31774922</v>
      </c>
      <c r="H205" s="366">
        <v>1020</v>
      </c>
    </row>
    <row r="206" spans="1:8" ht="15">
      <c r="A206" s="310">
        <v>4</v>
      </c>
      <c r="B206" s="401" t="s">
        <v>3</v>
      </c>
      <c r="C206" s="366">
        <v>17</v>
      </c>
      <c r="D206" s="374">
        <v>17</v>
      </c>
      <c r="E206" s="556">
        <v>3600</v>
      </c>
      <c r="F206" s="557">
        <v>180000</v>
      </c>
      <c r="G206" s="375">
        <v>2234600</v>
      </c>
      <c r="H206" s="375">
        <v>85</v>
      </c>
    </row>
    <row r="207" spans="1:8" ht="15">
      <c r="A207" s="310">
        <v>5</v>
      </c>
      <c r="B207" s="401" t="s">
        <v>32</v>
      </c>
      <c r="C207" s="366">
        <v>179</v>
      </c>
      <c r="D207" s="366">
        <v>177.1432</v>
      </c>
      <c r="E207" s="366">
        <v>500000</v>
      </c>
      <c r="F207" s="375">
        <v>200000000</v>
      </c>
      <c r="G207" s="375">
        <v>91333264</v>
      </c>
      <c r="H207" s="366">
        <v>275</v>
      </c>
    </row>
    <row r="208" spans="1:8" ht="15">
      <c r="A208" s="310">
        <v>6</v>
      </c>
      <c r="B208" s="558" t="s">
        <v>138</v>
      </c>
      <c r="C208" s="366">
        <v>46</v>
      </c>
      <c r="D208" s="366">
        <v>46</v>
      </c>
      <c r="E208" s="375">
        <v>892805</v>
      </c>
      <c r="F208" s="366">
        <v>178561000</v>
      </c>
      <c r="G208" s="375">
        <v>70498877</v>
      </c>
      <c r="H208" s="375">
        <v>8550</v>
      </c>
    </row>
    <row r="209" spans="1:8" ht="15">
      <c r="A209" s="310">
        <v>7</v>
      </c>
      <c r="B209" s="401" t="s">
        <v>37</v>
      </c>
      <c r="C209" s="366">
        <v>25</v>
      </c>
      <c r="D209" s="366">
        <v>25</v>
      </c>
      <c r="E209" s="375">
        <v>389235.28</v>
      </c>
      <c r="F209" s="366">
        <v>19461750</v>
      </c>
      <c r="G209" s="375">
        <v>6617000</v>
      </c>
      <c r="H209" s="375">
        <v>45</v>
      </c>
    </row>
    <row r="210" spans="1:8" ht="15">
      <c r="A210" s="310">
        <v>8</v>
      </c>
      <c r="B210" s="401" t="s">
        <v>147</v>
      </c>
      <c r="C210" s="366">
        <v>2</v>
      </c>
      <c r="D210" s="366">
        <v>2</v>
      </c>
      <c r="E210" s="375">
        <v>280</v>
      </c>
      <c r="F210" s="366">
        <v>14000</v>
      </c>
      <c r="G210" s="375">
        <v>200000</v>
      </c>
      <c r="H210" s="375">
        <v>50</v>
      </c>
    </row>
    <row r="211" spans="1:8" ht="15">
      <c r="A211" s="310">
        <v>9</v>
      </c>
      <c r="B211" s="401" t="s">
        <v>49</v>
      </c>
      <c r="C211" s="562">
        <v>699</v>
      </c>
      <c r="D211" s="569">
        <v>710.38</v>
      </c>
      <c r="E211" s="559">
        <v>16498282</v>
      </c>
      <c r="F211" s="560">
        <v>2062285250</v>
      </c>
      <c r="G211" s="375">
        <v>362961196</v>
      </c>
      <c r="H211" s="375">
        <v>6707</v>
      </c>
    </row>
    <row r="212" spans="1:8" ht="15">
      <c r="A212" s="310">
        <v>10</v>
      </c>
      <c r="B212" s="401" t="s">
        <v>54</v>
      </c>
      <c r="C212" s="366">
        <v>154</v>
      </c>
      <c r="D212" s="374">
        <v>154.685</v>
      </c>
      <c r="E212" s="375">
        <v>1624341</v>
      </c>
      <c r="F212" s="366">
        <v>324868200</v>
      </c>
      <c r="G212" s="375">
        <v>26230835</v>
      </c>
      <c r="H212" s="375">
        <v>2368</v>
      </c>
    </row>
    <row r="213" spans="1:8" ht="15">
      <c r="A213" s="310">
        <v>11</v>
      </c>
      <c r="B213" s="401" t="s">
        <v>65</v>
      </c>
      <c r="C213" s="366">
        <v>10</v>
      </c>
      <c r="D213" s="374">
        <v>10</v>
      </c>
      <c r="E213" s="375">
        <v>391994</v>
      </c>
      <c r="F213" s="366">
        <v>39199400</v>
      </c>
      <c r="G213" s="375">
        <v>6677221</v>
      </c>
      <c r="H213" s="375">
        <v>30</v>
      </c>
    </row>
    <row r="214" spans="1:8" ht="15">
      <c r="A214" s="310">
        <v>12</v>
      </c>
      <c r="B214" s="401" t="s">
        <v>154</v>
      </c>
      <c r="C214" s="366"/>
      <c r="D214" s="374"/>
      <c r="E214" s="564"/>
      <c r="F214" s="560"/>
      <c r="G214" s="375">
        <v>4930000</v>
      </c>
      <c r="H214" s="375"/>
    </row>
    <row r="215" spans="1:8" ht="15">
      <c r="A215" s="310">
        <v>13</v>
      </c>
      <c r="B215" s="401" t="s">
        <v>155</v>
      </c>
      <c r="C215" s="366">
        <v>66</v>
      </c>
      <c r="D215" s="374">
        <v>67.6845</v>
      </c>
      <c r="E215" s="375">
        <v>273605</v>
      </c>
      <c r="F215" s="366">
        <v>18258250</v>
      </c>
      <c r="G215" s="375">
        <v>10096649</v>
      </c>
      <c r="H215" s="375">
        <v>522</v>
      </c>
    </row>
    <row r="216" spans="1:8" ht="15">
      <c r="A216" s="310">
        <v>14</v>
      </c>
      <c r="B216" s="401" t="s">
        <v>68</v>
      </c>
      <c r="C216" s="366">
        <v>7</v>
      </c>
      <c r="D216" s="366">
        <v>7</v>
      </c>
      <c r="E216" s="375">
        <v>698935</v>
      </c>
      <c r="F216" s="366">
        <v>125808300</v>
      </c>
      <c r="G216" s="375">
        <v>9272592</v>
      </c>
      <c r="H216" s="375">
        <v>150</v>
      </c>
    </row>
    <row r="217" spans="1:8" ht="15">
      <c r="A217" s="310">
        <v>15</v>
      </c>
      <c r="B217" s="401" t="s">
        <v>161</v>
      </c>
      <c r="C217" s="366">
        <v>27</v>
      </c>
      <c r="D217" s="374">
        <v>189.88</v>
      </c>
      <c r="E217" s="375">
        <v>81824</v>
      </c>
      <c r="F217" s="366">
        <v>8182400</v>
      </c>
      <c r="G217" s="375">
        <v>897000</v>
      </c>
      <c r="H217" s="375">
        <v>150</v>
      </c>
    </row>
    <row r="218" spans="1:8" ht="15">
      <c r="A218" s="310">
        <v>16</v>
      </c>
      <c r="B218" s="401" t="s">
        <v>69</v>
      </c>
      <c r="C218" s="366">
        <v>12</v>
      </c>
      <c r="D218" s="374">
        <v>12</v>
      </c>
      <c r="E218" s="375">
        <v>110918</v>
      </c>
      <c r="F218" s="366">
        <v>11091800</v>
      </c>
      <c r="G218" s="375">
        <v>1885619</v>
      </c>
      <c r="H218" s="375">
        <v>50</v>
      </c>
    </row>
    <row r="219" spans="1:8" ht="15">
      <c r="A219" s="310">
        <v>17</v>
      </c>
      <c r="B219" s="401" t="s">
        <v>71</v>
      </c>
      <c r="C219" s="366">
        <v>105</v>
      </c>
      <c r="D219" s="374">
        <v>105</v>
      </c>
      <c r="E219" s="375">
        <v>633300</v>
      </c>
      <c r="F219" s="366">
        <v>37998000</v>
      </c>
      <c r="G219" s="375">
        <v>9666640</v>
      </c>
      <c r="H219" s="375">
        <v>660</v>
      </c>
    </row>
    <row r="220" spans="1:8" ht="15">
      <c r="A220" s="310">
        <v>18</v>
      </c>
      <c r="B220" s="401" t="s">
        <v>75</v>
      </c>
      <c r="C220" s="366">
        <v>37</v>
      </c>
      <c r="D220" s="374">
        <v>40</v>
      </c>
      <c r="E220" s="375">
        <v>595587</v>
      </c>
      <c r="F220" s="366">
        <v>23823480</v>
      </c>
      <c r="G220" s="375">
        <v>10108000</v>
      </c>
      <c r="H220" s="375">
        <v>110</v>
      </c>
    </row>
    <row r="221" spans="1:8" ht="15">
      <c r="A221" s="310">
        <v>19</v>
      </c>
      <c r="B221" s="401" t="s">
        <v>73</v>
      </c>
      <c r="C221" s="366">
        <v>881</v>
      </c>
      <c r="D221" s="366">
        <v>1002.73</v>
      </c>
      <c r="E221" s="375">
        <v>15911200</v>
      </c>
      <c r="F221" s="560">
        <v>795560000</v>
      </c>
      <c r="G221" s="375">
        <v>294917000</v>
      </c>
      <c r="H221" s="375">
        <v>9500</v>
      </c>
    </row>
    <row r="222" spans="1:8" ht="15">
      <c r="A222" s="310">
        <v>20</v>
      </c>
      <c r="B222" s="401" t="s">
        <v>79</v>
      </c>
      <c r="C222" s="366">
        <v>248</v>
      </c>
      <c r="D222" s="374">
        <v>249.43</v>
      </c>
      <c r="E222" s="564">
        <v>270358</v>
      </c>
      <c r="F222" s="560">
        <v>108143200</v>
      </c>
      <c r="G222" s="564">
        <v>51223000</v>
      </c>
      <c r="H222" s="375">
        <v>1358</v>
      </c>
    </row>
    <row r="223" spans="1:8" ht="15">
      <c r="A223" s="310">
        <v>21</v>
      </c>
      <c r="B223" s="401" t="s">
        <v>163</v>
      </c>
      <c r="C223" s="553">
        <v>34</v>
      </c>
      <c r="D223" s="554">
        <v>34.5</v>
      </c>
      <c r="E223" s="555">
        <v>2119248</v>
      </c>
      <c r="F223" s="553">
        <v>529812000</v>
      </c>
      <c r="G223" s="555">
        <v>45919781</v>
      </c>
      <c r="H223" s="556">
        <v>2300</v>
      </c>
    </row>
    <row r="224" spans="1:8" ht="15">
      <c r="A224" s="310">
        <v>22</v>
      </c>
      <c r="B224" s="401" t="s">
        <v>81</v>
      </c>
      <c r="C224" s="366">
        <v>74</v>
      </c>
      <c r="D224" s="366">
        <v>74</v>
      </c>
      <c r="E224" s="375">
        <v>921295</v>
      </c>
      <c r="F224" s="366">
        <v>69097125</v>
      </c>
      <c r="G224" s="375">
        <v>15558000</v>
      </c>
      <c r="H224" s="375">
        <v>465</v>
      </c>
    </row>
    <row r="225" spans="1:8" ht="15">
      <c r="A225" s="310">
        <v>23</v>
      </c>
      <c r="B225" s="401" t="s">
        <v>167</v>
      </c>
      <c r="C225" s="366">
        <v>101</v>
      </c>
      <c r="D225" s="366">
        <v>152.63</v>
      </c>
      <c r="E225" s="366">
        <v>1065027</v>
      </c>
      <c r="F225" s="366">
        <v>159754050</v>
      </c>
      <c r="G225" s="375">
        <v>18098000</v>
      </c>
      <c r="H225" s="375">
        <v>700</v>
      </c>
    </row>
    <row r="226" spans="1:8" ht="15">
      <c r="A226" s="310">
        <v>24</v>
      </c>
      <c r="B226" s="401" t="s">
        <v>83</v>
      </c>
      <c r="C226" s="366">
        <v>88</v>
      </c>
      <c r="D226" s="374">
        <v>88.68</v>
      </c>
      <c r="E226" s="43">
        <v>8574517</v>
      </c>
      <c r="F226" s="22">
        <v>1071814625</v>
      </c>
      <c r="G226" s="375">
        <v>55734361</v>
      </c>
      <c r="H226" s="375">
        <v>260</v>
      </c>
    </row>
    <row r="227" spans="1:8" ht="15">
      <c r="A227" s="310">
        <v>25</v>
      </c>
      <c r="B227" s="401" t="s">
        <v>84</v>
      </c>
      <c r="C227" s="366">
        <v>237</v>
      </c>
      <c r="D227" s="366">
        <v>237.82</v>
      </c>
      <c r="E227" s="564">
        <v>3319908</v>
      </c>
      <c r="F227" s="564">
        <v>398389036</v>
      </c>
      <c r="G227" s="375">
        <v>73038000</v>
      </c>
      <c r="H227" s="375">
        <v>2200</v>
      </c>
    </row>
    <row r="228" spans="1:8" ht="15">
      <c r="A228" s="310">
        <v>26</v>
      </c>
      <c r="B228" s="401" t="s">
        <v>85</v>
      </c>
      <c r="C228" s="366">
        <v>163</v>
      </c>
      <c r="D228" s="374">
        <v>163</v>
      </c>
      <c r="E228" s="375">
        <v>405294</v>
      </c>
      <c r="F228" s="366">
        <v>36500000</v>
      </c>
      <c r="G228" s="375">
        <v>15980000</v>
      </c>
      <c r="H228" s="375">
        <v>900</v>
      </c>
    </row>
    <row r="229" spans="1:8" ht="15">
      <c r="A229" s="310">
        <v>27</v>
      </c>
      <c r="B229" s="401" t="s">
        <v>86</v>
      </c>
      <c r="C229" s="366">
        <v>286</v>
      </c>
      <c r="D229" s="374">
        <v>269.05</v>
      </c>
      <c r="E229" s="375">
        <v>2017770</v>
      </c>
      <c r="F229" s="366">
        <v>70621950</v>
      </c>
      <c r="G229" s="375">
        <v>86186000</v>
      </c>
      <c r="H229" s="375">
        <v>4310</v>
      </c>
    </row>
    <row r="230" spans="1:8" ht="15">
      <c r="A230" s="310">
        <v>28</v>
      </c>
      <c r="B230" s="401" t="s">
        <v>88</v>
      </c>
      <c r="C230" s="366">
        <v>4</v>
      </c>
      <c r="D230" s="366">
        <v>4</v>
      </c>
      <c r="E230" s="375">
        <v>0</v>
      </c>
      <c r="F230" s="366">
        <v>0</v>
      </c>
      <c r="G230" s="375">
        <v>92437</v>
      </c>
      <c r="H230" s="375">
        <v>12</v>
      </c>
    </row>
    <row r="231" spans="1:8" ht="15">
      <c r="A231" s="310">
        <v>29</v>
      </c>
      <c r="B231" s="400" t="s">
        <v>264</v>
      </c>
      <c r="C231" s="366">
        <v>14</v>
      </c>
      <c r="D231" s="366">
        <v>16</v>
      </c>
      <c r="E231" s="375">
        <v>13283</v>
      </c>
      <c r="F231" s="366">
        <v>1328300</v>
      </c>
      <c r="G231" s="375">
        <v>3300000</v>
      </c>
      <c r="H231" s="375">
        <v>28</v>
      </c>
    </row>
    <row r="232" spans="1:8" ht="15">
      <c r="A232" s="310">
        <v>30</v>
      </c>
      <c r="B232" s="401" t="s">
        <v>89</v>
      </c>
      <c r="C232" s="366">
        <v>27</v>
      </c>
      <c r="D232" s="374">
        <v>27</v>
      </c>
      <c r="E232" s="375">
        <v>37765</v>
      </c>
      <c r="F232" s="366">
        <v>2832375</v>
      </c>
      <c r="G232" s="375">
        <v>642000</v>
      </c>
      <c r="H232" s="375">
        <v>135</v>
      </c>
    </row>
    <row r="233" spans="1:8" ht="15">
      <c r="A233" s="310">
        <v>31</v>
      </c>
      <c r="B233" s="401" t="s">
        <v>90</v>
      </c>
      <c r="C233" s="366">
        <v>44</v>
      </c>
      <c r="D233" s="374">
        <v>39.942</v>
      </c>
      <c r="E233" s="375">
        <v>734939</v>
      </c>
      <c r="F233" s="366">
        <v>36746950</v>
      </c>
      <c r="G233" s="375">
        <v>10093000</v>
      </c>
      <c r="H233" s="375">
        <v>700</v>
      </c>
    </row>
    <row r="234" spans="1:8" ht="15">
      <c r="A234" s="310">
        <v>32</v>
      </c>
      <c r="B234" s="401" t="s">
        <v>93</v>
      </c>
      <c r="C234" s="366">
        <v>9</v>
      </c>
      <c r="D234" s="374">
        <v>9</v>
      </c>
      <c r="E234" s="375">
        <v>90650</v>
      </c>
      <c r="F234" s="366">
        <v>22662500</v>
      </c>
      <c r="G234" s="375">
        <v>2793000</v>
      </c>
      <c r="H234" s="375">
        <v>67</v>
      </c>
    </row>
    <row r="235" spans="1:8" ht="15">
      <c r="A235" s="310">
        <v>33</v>
      </c>
      <c r="B235" s="401" t="s">
        <v>94</v>
      </c>
      <c r="C235" s="366">
        <v>6</v>
      </c>
      <c r="D235" s="366">
        <v>6</v>
      </c>
      <c r="E235" s="375">
        <v>6551</v>
      </c>
      <c r="F235" s="366">
        <v>491360</v>
      </c>
      <c r="G235" s="375">
        <v>111375</v>
      </c>
      <c r="H235" s="375">
        <v>30</v>
      </c>
    </row>
    <row r="236" spans="1:8" ht="15">
      <c r="A236" s="310">
        <v>34</v>
      </c>
      <c r="B236" s="401" t="s">
        <v>95</v>
      </c>
      <c r="C236" s="366">
        <v>3</v>
      </c>
      <c r="D236" s="559">
        <v>4</v>
      </c>
      <c r="E236" s="375">
        <v>8076</v>
      </c>
      <c r="F236" s="366">
        <v>496000</v>
      </c>
      <c r="G236" s="375">
        <v>65200</v>
      </c>
      <c r="H236" s="375">
        <v>12</v>
      </c>
    </row>
    <row r="237" spans="1:8" ht="15">
      <c r="A237" s="310">
        <v>35</v>
      </c>
      <c r="B237" s="401" t="s">
        <v>97</v>
      </c>
      <c r="C237" s="366">
        <v>878</v>
      </c>
      <c r="D237" s="374">
        <v>878</v>
      </c>
      <c r="E237" s="375">
        <v>2392731</v>
      </c>
      <c r="F237" s="375">
        <v>418727925</v>
      </c>
      <c r="G237" s="561">
        <v>526446000</v>
      </c>
      <c r="H237" s="375">
        <v>3250</v>
      </c>
    </row>
    <row r="238" spans="1:8" ht="15">
      <c r="A238" s="310">
        <v>36</v>
      </c>
      <c r="B238" s="401" t="s">
        <v>182</v>
      </c>
      <c r="C238" s="366">
        <v>215</v>
      </c>
      <c r="D238" s="366">
        <v>215</v>
      </c>
      <c r="E238" s="375">
        <v>1534764</v>
      </c>
      <c r="F238" s="375">
        <v>345321900</v>
      </c>
      <c r="G238" s="375">
        <v>26091000</v>
      </c>
      <c r="H238" s="366">
        <v>1200</v>
      </c>
    </row>
    <row r="239" spans="1:8" ht="15">
      <c r="A239" s="310">
        <v>37</v>
      </c>
      <c r="B239" s="401" t="s">
        <v>105</v>
      </c>
      <c r="C239" s="366">
        <v>171</v>
      </c>
      <c r="D239" s="374">
        <v>164.55</v>
      </c>
      <c r="E239" s="375">
        <v>1994882</v>
      </c>
      <c r="F239" s="375">
        <v>99744100</v>
      </c>
      <c r="G239" s="366">
        <v>7174000</v>
      </c>
      <c r="H239" s="375">
        <v>320</v>
      </c>
    </row>
    <row r="240" spans="1:8" ht="15">
      <c r="A240" s="310">
        <v>38</v>
      </c>
      <c r="B240" s="401" t="s">
        <v>108</v>
      </c>
      <c r="C240" s="366">
        <v>154</v>
      </c>
      <c r="D240" s="366">
        <v>178.61</v>
      </c>
      <c r="E240" s="375">
        <v>888471</v>
      </c>
      <c r="F240" s="375">
        <v>266541300</v>
      </c>
      <c r="G240" s="366">
        <v>15104000</v>
      </c>
      <c r="H240" s="375">
        <v>530</v>
      </c>
    </row>
    <row r="241" spans="1:8" ht="15">
      <c r="A241" s="310"/>
      <c r="B241" s="449"/>
      <c r="C241" s="23"/>
      <c r="D241" s="22"/>
      <c r="E241" s="187"/>
      <c r="F241" s="185"/>
      <c r="G241" s="22"/>
      <c r="H241" s="22"/>
    </row>
    <row r="242" spans="1:8" ht="15">
      <c r="A242" s="1118" t="s">
        <v>129</v>
      </c>
      <c r="B242" s="1119"/>
      <c r="C242" s="713">
        <f aca="true" t="shared" si="11" ref="C242:H242">SUM(C203:C241)</f>
        <v>5691</v>
      </c>
      <c r="D242" s="753">
        <f t="shared" si="11"/>
        <v>6045.5647</v>
      </c>
      <c r="E242" s="753">
        <f t="shared" si="11"/>
        <v>70251003.28</v>
      </c>
      <c r="F242" s="713">
        <f t="shared" si="11"/>
        <v>8409053596</v>
      </c>
      <c r="G242" s="753">
        <f t="shared" si="11"/>
        <v>2003621740</v>
      </c>
      <c r="H242" s="753">
        <f t="shared" si="11"/>
        <v>57589</v>
      </c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448" t="s">
        <v>149</v>
      </c>
      <c r="E244" s="7"/>
      <c r="F244" s="7"/>
      <c r="G244" s="7"/>
      <c r="H244" s="7"/>
    </row>
    <row r="245" spans="1:8" ht="15" customHeight="1">
      <c r="A245" s="1099" t="s">
        <v>4</v>
      </c>
      <c r="B245" s="1101" t="s">
        <v>114</v>
      </c>
      <c r="C245" s="735" t="s">
        <v>6</v>
      </c>
      <c r="D245" s="735" t="s">
        <v>7</v>
      </c>
      <c r="E245" s="735" t="s">
        <v>8</v>
      </c>
      <c r="F245" s="735" t="s">
        <v>9</v>
      </c>
      <c r="G245" s="735" t="s">
        <v>10</v>
      </c>
      <c r="H245" s="735" t="s">
        <v>11</v>
      </c>
    </row>
    <row r="246" spans="1:8" ht="15">
      <c r="A246" s="1100"/>
      <c r="B246" s="1102"/>
      <c r="C246" s="746" t="s">
        <v>268</v>
      </c>
      <c r="D246" s="746" t="s">
        <v>277</v>
      </c>
      <c r="E246" s="746" t="s">
        <v>13</v>
      </c>
      <c r="F246" s="737" t="s">
        <v>391</v>
      </c>
      <c r="G246" s="737" t="s">
        <v>391</v>
      </c>
      <c r="H246" s="746" t="s">
        <v>15</v>
      </c>
    </row>
    <row r="247" spans="1:8" ht="15">
      <c r="A247" s="310">
        <v>1</v>
      </c>
      <c r="B247" s="401" t="s">
        <v>49</v>
      </c>
      <c r="C247" s="562">
        <v>1</v>
      </c>
      <c r="D247" s="562">
        <v>2</v>
      </c>
      <c r="E247" s="559">
        <v>494.08</v>
      </c>
      <c r="F247" s="560">
        <v>69172</v>
      </c>
      <c r="G247" s="375">
        <v>56820</v>
      </c>
      <c r="H247" s="375">
        <v>30</v>
      </c>
    </row>
    <row r="248" spans="1:8" ht="15">
      <c r="A248" s="310">
        <v>2</v>
      </c>
      <c r="B248" s="401" t="s">
        <v>167</v>
      </c>
      <c r="C248" s="366">
        <v>4</v>
      </c>
      <c r="D248" s="366">
        <v>86.5764</v>
      </c>
      <c r="E248" s="375">
        <v>894</v>
      </c>
      <c r="F248" s="366">
        <v>339720</v>
      </c>
      <c r="G248" s="375">
        <v>103000</v>
      </c>
      <c r="H248" s="375">
        <v>12</v>
      </c>
    </row>
    <row r="249" spans="1:8" ht="15">
      <c r="A249" s="1118" t="s">
        <v>129</v>
      </c>
      <c r="B249" s="1119"/>
      <c r="C249" s="750">
        <f aca="true" t="shared" si="12" ref="C249:H249">SUM(C247:C248)</f>
        <v>5</v>
      </c>
      <c r="D249" s="751">
        <f t="shared" si="12"/>
        <v>88.5764</v>
      </c>
      <c r="E249" s="752">
        <f t="shared" si="12"/>
        <v>1388.08</v>
      </c>
      <c r="F249" s="750">
        <f t="shared" si="12"/>
        <v>408892</v>
      </c>
      <c r="G249" s="752">
        <f t="shared" si="12"/>
        <v>159820</v>
      </c>
      <c r="H249" s="752">
        <f t="shared" si="12"/>
        <v>42</v>
      </c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448" t="s">
        <v>145</v>
      </c>
      <c r="E251" s="7"/>
      <c r="F251" s="7"/>
      <c r="G251" s="7"/>
      <c r="H251" s="7"/>
    </row>
    <row r="252" spans="1:8" ht="15" customHeight="1">
      <c r="A252" s="1099" t="s">
        <v>4</v>
      </c>
      <c r="B252" s="1101" t="s">
        <v>114</v>
      </c>
      <c r="C252" s="735" t="s">
        <v>6</v>
      </c>
      <c r="D252" s="735" t="s">
        <v>7</v>
      </c>
      <c r="E252" s="735" t="s">
        <v>8</v>
      </c>
      <c r="F252" s="735" t="s">
        <v>9</v>
      </c>
      <c r="G252" s="735" t="s">
        <v>10</v>
      </c>
      <c r="H252" s="735" t="s">
        <v>11</v>
      </c>
    </row>
    <row r="253" spans="1:8" ht="15">
      <c r="A253" s="1100"/>
      <c r="B253" s="1102"/>
      <c r="C253" s="746" t="s">
        <v>268</v>
      </c>
      <c r="D253" s="746" t="s">
        <v>277</v>
      </c>
      <c r="E253" s="746" t="s">
        <v>13</v>
      </c>
      <c r="F253" s="737" t="s">
        <v>391</v>
      </c>
      <c r="G253" s="737" t="s">
        <v>391</v>
      </c>
      <c r="H253" s="746" t="s">
        <v>15</v>
      </c>
    </row>
    <row r="254" spans="1:8" ht="15">
      <c r="A254" s="310">
        <v>1</v>
      </c>
      <c r="B254" s="401" t="s">
        <v>42</v>
      </c>
      <c r="C254" s="366"/>
      <c r="D254" s="366"/>
      <c r="E254" s="556">
        <v>2083765</v>
      </c>
      <c r="F254" s="557">
        <v>125025900</v>
      </c>
      <c r="G254" s="375">
        <v>7756983</v>
      </c>
      <c r="H254" s="375">
        <v>100</v>
      </c>
    </row>
    <row r="255" spans="1:8" ht="15">
      <c r="A255" s="310">
        <v>2</v>
      </c>
      <c r="B255" s="401" t="s">
        <v>68</v>
      </c>
      <c r="C255" s="366"/>
      <c r="D255" s="366"/>
      <c r="E255" s="375">
        <v>794200</v>
      </c>
      <c r="F255" s="366">
        <v>87362000</v>
      </c>
      <c r="G255" s="375">
        <v>1242737</v>
      </c>
      <c r="H255" s="375">
        <v>140</v>
      </c>
    </row>
    <row r="256" spans="1:8" ht="15">
      <c r="A256" s="310">
        <v>3</v>
      </c>
      <c r="B256" s="401" t="s">
        <v>167</v>
      </c>
      <c r="C256" s="366"/>
      <c r="D256" s="366"/>
      <c r="E256" s="375">
        <v>347000</v>
      </c>
      <c r="F256" s="366">
        <v>52050000</v>
      </c>
      <c r="G256" s="375">
        <v>867000</v>
      </c>
      <c r="H256" s="375">
        <v>170</v>
      </c>
    </row>
    <row r="257" spans="1:8" ht="15">
      <c r="A257" s="310">
        <v>4</v>
      </c>
      <c r="B257" s="401" t="s">
        <v>83</v>
      </c>
      <c r="C257" s="366"/>
      <c r="D257" s="374"/>
      <c r="E257" s="375">
        <v>1984035</v>
      </c>
      <c r="F257" s="375">
        <v>59521050</v>
      </c>
      <c r="G257" s="375">
        <v>3354241</v>
      </c>
      <c r="H257" s="375"/>
    </row>
    <row r="258" spans="1:8" ht="15">
      <c r="A258" s="310">
        <v>5</v>
      </c>
      <c r="B258" s="400" t="s">
        <v>264</v>
      </c>
      <c r="C258" s="366"/>
      <c r="D258" s="366"/>
      <c r="E258" s="375"/>
      <c r="F258" s="366"/>
      <c r="G258" s="375"/>
      <c r="H258" s="375"/>
    </row>
    <row r="259" spans="1:8" ht="15">
      <c r="A259" s="1118" t="s">
        <v>129</v>
      </c>
      <c r="B259" s="1119"/>
      <c r="C259" s="750">
        <f aca="true" t="shared" si="13" ref="C259:H259">SUM(C254:C258)</f>
        <v>0</v>
      </c>
      <c r="D259" s="751">
        <f t="shared" si="13"/>
        <v>0</v>
      </c>
      <c r="E259" s="752">
        <f t="shared" si="13"/>
        <v>5209000</v>
      </c>
      <c r="F259" s="750">
        <f t="shared" si="13"/>
        <v>323958950</v>
      </c>
      <c r="G259" s="752">
        <f t="shared" si="13"/>
        <v>13220961</v>
      </c>
      <c r="H259" s="752">
        <f t="shared" si="13"/>
        <v>410</v>
      </c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448" t="s">
        <v>175</v>
      </c>
      <c r="E261" s="7"/>
      <c r="F261" s="7"/>
      <c r="G261" s="7"/>
      <c r="H261" s="7"/>
    </row>
    <row r="262" spans="1:8" ht="15" customHeight="1">
      <c r="A262" s="1099" t="s">
        <v>4</v>
      </c>
      <c r="B262" s="1101" t="s">
        <v>114</v>
      </c>
      <c r="C262" s="735" t="s">
        <v>6</v>
      </c>
      <c r="D262" s="735" t="s">
        <v>7</v>
      </c>
      <c r="E262" s="735" t="s">
        <v>8</v>
      </c>
      <c r="F262" s="735" t="s">
        <v>9</v>
      </c>
      <c r="G262" s="735" t="s">
        <v>10</v>
      </c>
      <c r="H262" s="735" t="s">
        <v>11</v>
      </c>
    </row>
    <row r="263" spans="1:8" ht="15">
      <c r="A263" s="1100"/>
      <c r="B263" s="1102"/>
      <c r="C263" s="746" t="s">
        <v>268</v>
      </c>
      <c r="D263" s="746" t="s">
        <v>277</v>
      </c>
      <c r="E263" s="746" t="s">
        <v>13</v>
      </c>
      <c r="F263" s="737" t="s">
        <v>391</v>
      </c>
      <c r="G263" s="737" t="s">
        <v>391</v>
      </c>
      <c r="H263" s="746" t="s">
        <v>15</v>
      </c>
    </row>
    <row r="264" spans="1:8" ht="15">
      <c r="A264" s="310">
        <v>1</v>
      </c>
      <c r="B264" s="401" t="s">
        <v>155</v>
      </c>
      <c r="C264" s="366"/>
      <c r="D264" s="374"/>
      <c r="E264" s="375"/>
      <c r="F264" s="366"/>
      <c r="G264" s="375">
        <v>156750</v>
      </c>
      <c r="H264" s="375"/>
    </row>
    <row r="265" spans="1:8" ht="15">
      <c r="A265" s="310">
        <v>2</v>
      </c>
      <c r="B265" s="401" t="s">
        <v>68</v>
      </c>
      <c r="C265" s="366"/>
      <c r="D265" s="366"/>
      <c r="E265" s="375">
        <v>4650</v>
      </c>
      <c r="F265" s="366">
        <v>651000</v>
      </c>
      <c r="G265" s="375">
        <v>1069639</v>
      </c>
      <c r="H265" s="375">
        <v>40</v>
      </c>
    </row>
    <row r="266" spans="1:8" ht="15">
      <c r="A266" s="310">
        <v>3</v>
      </c>
      <c r="B266" s="401" t="s">
        <v>167</v>
      </c>
      <c r="C266" s="366"/>
      <c r="D266" s="366"/>
      <c r="E266" s="375">
        <v>127012</v>
      </c>
      <c r="F266" s="366">
        <v>19051800</v>
      </c>
      <c r="G266" s="375">
        <v>2442000</v>
      </c>
      <c r="H266" s="375">
        <v>250</v>
      </c>
    </row>
    <row r="267" spans="1:8" ht="15">
      <c r="A267" s="310">
        <v>4</v>
      </c>
      <c r="B267" s="401" t="s">
        <v>83</v>
      </c>
      <c r="C267" s="366"/>
      <c r="D267" s="374"/>
      <c r="E267" s="375"/>
      <c r="F267" s="375"/>
      <c r="G267" s="375">
        <v>89680</v>
      </c>
      <c r="H267" s="375"/>
    </row>
    <row r="268" spans="1:8" ht="15">
      <c r="A268" s="310">
        <v>5</v>
      </c>
      <c r="B268" s="558" t="s">
        <v>138</v>
      </c>
      <c r="C268" s="366"/>
      <c r="D268" s="366"/>
      <c r="E268" s="375">
        <v>260895</v>
      </c>
      <c r="F268" s="366">
        <v>32611875</v>
      </c>
      <c r="G268" s="375">
        <v>148600</v>
      </c>
      <c r="H268" s="375">
        <v>1260</v>
      </c>
    </row>
    <row r="269" spans="1:8" ht="15">
      <c r="A269" s="310">
        <v>6</v>
      </c>
      <c r="B269" s="401" t="s">
        <v>75</v>
      </c>
      <c r="C269" s="366"/>
      <c r="D269" s="374"/>
      <c r="E269" s="375">
        <v>483777</v>
      </c>
      <c r="F269" s="366">
        <v>24188850</v>
      </c>
      <c r="G269" s="375">
        <v>8708000</v>
      </c>
      <c r="H269" s="375"/>
    </row>
    <row r="270" spans="1:8" ht="15">
      <c r="A270" s="310">
        <v>7</v>
      </c>
      <c r="B270" s="401" t="s">
        <v>163</v>
      </c>
      <c r="C270" s="553"/>
      <c r="D270" s="554"/>
      <c r="E270" s="555">
        <v>2194864</v>
      </c>
      <c r="F270" s="553">
        <v>109743200</v>
      </c>
      <c r="G270" s="555">
        <v>12555173</v>
      </c>
      <c r="H270" s="556">
        <v>560</v>
      </c>
    </row>
    <row r="271" spans="1:8" ht="15">
      <c r="A271" s="310">
        <v>8</v>
      </c>
      <c r="B271" s="401" t="s">
        <v>94</v>
      </c>
      <c r="C271" s="366"/>
      <c r="D271" s="366"/>
      <c r="E271" s="375">
        <v>252422</v>
      </c>
      <c r="F271" s="366">
        <v>12621103</v>
      </c>
      <c r="G271" s="375">
        <v>4291175</v>
      </c>
      <c r="H271" s="375"/>
    </row>
    <row r="272" spans="1:8" ht="15">
      <c r="A272" s="310">
        <v>9</v>
      </c>
      <c r="B272" s="400" t="s">
        <v>264</v>
      </c>
      <c r="C272" s="366"/>
      <c r="D272" s="366"/>
      <c r="E272" s="375"/>
      <c r="F272" s="366"/>
      <c r="G272" s="375">
        <v>19000</v>
      </c>
      <c r="H272" s="375"/>
    </row>
    <row r="273" spans="1:8" ht="15">
      <c r="A273" s="310">
        <v>10</v>
      </c>
      <c r="B273" s="401" t="s">
        <v>42</v>
      </c>
      <c r="C273" s="366"/>
      <c r="D273" s="366"/>
      <c r="E273" s="556">
        <v>840340</v>
      </c>
      <c r="F273" s="557">
        <v>134454400</v>
      </c>
      <c r="G273" s="375">
        <v>4201699</v>
      </c>
      <c r="H273" s="375">
        <v>2010</v>
      </c>
    </row>
    <row r="274" spans="1:8" ht="15">
      <c r="A274" s="310">
        <v>11</v>
      </c>
      <c r="B274" s="401" t="s">
        <v>68</v>
      </c>
      <c r="C274" s="366"/>
      <c r="D274" s="366"/>
      <c r="E274" s="375">
        <v>229248</v>
      </c>
      <c r="F274" s="366">
        <v>25217280</v>
      </c>
      <c r="G274" s="375">
        <v>389722</v>
      </c>
      <c r="H274" s="375">
        <v>50</v>
      </c>
    </row>
    <row r="275" spans="1:8" ht="15">
      <c r="A275" s="310"/>
      <c r="B275" s="449"/>
      <c r="C275" s="310"/>
      <c r="D275" s="410"/>
      <c r="E275" s="339"/>
      <c r="F275" s="310"/>
      <c r="G275" s="313"/>
      <c r="H275" s="313"/>
    </row>
    <row r="276" spans="1:8" ht="15">
      <c r="A276" s="310"/>
      <c r="B276" s="449"/>
      <c r="C276" s="310"/>
      <c r="D276" s="410"/>
      <c r="E276" s="339"/>
      <c r="F276" s="310"/>
      <c r="G276" s="313"/>
      <c r="H276" s="313"/>
    </row>
    <row r="277" spans="1:8" ht="15">
      <c r="A277" s="1118" t="s">
        <v>129</v>
      </c>
      <c r="B277" s="1119"/>
      <c r="C277" s="750">
        <f aca="true" t="shared" si="14" ref="C277:H277">SUM(C264:C276)</f>
        <v>0</v>
      </c>
      <c r="D277" s="751">
        <f t="shared" si="14"/>
        <v>0</v>
      </c>
      <c r="E277" s="752">
        <f t="shared" si="14"/>
        <v>4393208</v>
      </c>
      <c r="F277" s="750">
        <f t="shared" si="14"/>
        <v>358539508</v>
      </c>
      <c r="G277" s="752">
        <f t="shared" si="14"/>
        <v>34071438</v>
      </c>
      <c r="H277" s="752">
        <f t="shared" si="14"/>
        <v>4170</v>
      </c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448" t="s">
        <v>183</v>
      </c>
      <c r="E279" s="7"/>
      <c r="F279" s="7"/>
      <c r="G279" s="7"/>
      <c r="H279" s="7"/>
    </row>
    <row r="280" spans="1:8" ht="15" customHeight="1">
      <c r="A280" s="1099" t="s">
        <v>4</v>
      </c>
      <c r="B280" s="1101" t="s">
        <v>114</v>
      </c>
      <c r="C280" s="735" t="s">
        <v>6</v>
      </c>
      <c r="D280" s="735" t="s">
        <v>7</v>
      </c>
      <c r="E280" s="735" t="s">
        <v>8</v>
      </c>
      <c r="F280" s="735" t="s">
        <v>9</v>
      </c>
      <c r="G280" s="735" t="s">
        <v>10</v>
      </c>
      <c r="H280" s="735" t="s">
        <v>11</v>
      </c>
    </row>
    <row r="281" spans="1:8" ht="15">
      <c r="A281" s="1100"/>
      <c r="B281" s="1102"/>
      <c r="C281" s="746" t="s">
        <v>268</v>
      </c>
      <c r="D281" s="746" t="s">
        <v>277</v>
      </c>
      <c r="E281" s="746" t="s">
        <v>13</v>
      </c>
      <c r="F281" s="737" t="s">
        <v>391</v>
      </c>
      <c r="G281" s="737" t="s">
        <v>391</v>
      </c>
      <c r="H281" s="746" t="s">
        <v>15</v>
      </c>
    </row>
    <row r="282" spans="1:8" ht="15">
      <c r="A282" s="310">
        <v>1</v>
      </c>
      <c r="B282" s="401" t="s">
        <v>20</v>
      </c>
      <c r="C282" s="366">
        <v>6</v>
      </c>
      <c r="D282" s="374">
        <v>13.5</v>
      </c>
      <c r="E282" s="366">
        <v>158734</v>
      </c>
      <c r="F282" s="375">
        <v>24150560</v>
      </c>
      <c r="G282" s="375">
        <v>2939000</v>
      </c>
      <c r="H282" s="366">
        <v>5</v>
      </c>
    </row>
    <row r="283" spans="1:8" ht="15">
      <c r="A283" s="310">
        <v>2</v>
      </c>
      <c r="B283" s="401" t="s">
        <v>32</v>
      </c>
      <c r="C283" s="366">
        <v>1</v>
      </c>
      <c r="D283" s="366">
        <v>4.9275</v>
      </c>
      <c r="E283" s="366">
        <v>311</v>
      </c>
      <c r="F283" s="375">
        <v>185000</v>
      </c>
      <c r="G283" s="375">
        <v>69152</v>
      </c>
      <c r="H283" s="366">
        <v>2</v>
      </c>
    </row>
    <row r="284" spans="1:8" ht="15">
      <c r="A284" s="310">
        <v>3</v>
      </c>
      <c r="B284" s="401" t="s">
        <v>69</v>
      </c>
      <c r="C284" s="366"/>
      <c r="D284" s="374"/>
      <c r="E284" s="375">
        <v>21951</v>
      </c>
      <c r="F284" s="366">
        <v>16453250</v>
      </c>
      <c r="G284" s="375">
        <v>878059</v>
      </c>
      <c r="H284" s="375">
        <v>100</v>
      </c>
    </row>
    <row r="285" spans="1:8" ht="15">
      <c r="A285" s="310">
        <v>4</v>
      </c>
      <c r="B285" s="401" t="s">
        <v>3</v>
      </c>
      <c r="C285" s="366">
        <v>1</v>
      </c>
      <c r="D285" s="374">
        <v>2.25</v>
      </c>
      <c r="E285" s="564"/>
      <c r="F285" s="560"/>
      <c r="G285" s="375">
        <v>34000</v>
      </c>
      <c r="H285" s="375">
        <v>5</v>
      </c>
    </row>
    <row r="286" spans="1:8" ht="15">
      <c r="A286" s="310">
        <v>5</v>
      </c>
      <c r="B286" s="401" t="s">
        <v>97</v>
      </c>
      <c r="C286" s="366">
        <v>1</v>
      </c>
      <c r="D286" s="374">
        <v>1</v>
      </c>
      <c r="E286" s="375"/>
      <c r="F286" s="375"/>
      <c r="G286" s="561">
        <v>25000</v>
      </c>
      <c r="H286" s="375"/>
    </row>
    <row r="287" spans="1:8" ht="15">
      <c r="A287" s="310">
        <v>6</v>
      </c>
      <c r="B287" s="401" t="s">
        <v>54</v>
      </c>
      <c r="C287" s="366">
        <v>5</v>
      </c>
      <c r="D287" s="374">
        <v>4.82</v>
      </c>
      <c r="E287" s="375">
        <v>500</v>
      </c>
      <c r="F287" s="366">
        <v>300000</v>
      </c>
      <c r="G287" s="375">
        <v>145825</v>
      </c>
      <c r="H287" s="375">
        <v>28</v>
      </c>
    </row>
    <row r="288" spans="1:8" ht="15">
      <c r="A288" s="310">
        <v>7</v>
      </c>
      <c r="B288" s="401" t="s">
        <v>95</v>
      </c>
      <c r="C288" s="366"/>
      <c r="D288" s="374"/>
      <c r="E288" s="375"/>
      <c r="F288" s="366"/>
      <c r="G288" s="375">
        <v>3672</v>
      </c>
      <c r="H288" s="375"/>
    </row>
    <row r="289" spans="1:8" ht="15">
      <c r="A289" s="310">
        <v>8</v>
      </c>
      <c r="B289" s="401" t="s">
        <v>108</v>
      </c>
      <c r="C289" s="366">
        <v>8</v>
      </c>
      <c r="D289" s="366">
        <v>14.5</v>
      </c>
      <c r="E289" s="375">
        <v>7962</v>
      </c>
      <c r="F289" s="375">
        <v>2547840</v>
      </c>
      <c r="G289" s="366">
        <v>207000</v>
      </c>
      <c r="H289" s="375">
        <v>50</v>
      </c>
    </row>
    <row r="290" spans="1:8" ht="15">
      <c r="A290" s="310">
        <v>9</v>
      </c>
      <c r="B290" s="400" t="s">
        <v>264</v>
      </c>
      <c r="C290" s="366">
        <v>24</v>
      </c>
      <c r="D290" s="366">
        <v>54</v>
      </c>
      <c r="E290" s="375">
        <v>6658</v>
      </c>
      <c r="F290" s="366">
        <v>27297800</v>
      </c>
      <c r="G290" s="375">
        <v>734000</v>
      </c>
      <c r="H290" s="375">
        <v>48</v>
      </c>
    </row>
    <row r="291" spans="1:8" ht="15">
      <c r="A291" s="310">
        <v>10</v>
      </c>
      <c r="B291" s="401" t="s">
        <v>182</v>
      </c>
      <c r="C291" s="366"/>
      <c r="D291" s="366"/>
      <c r="E291" s="375">
        <v>17718</v>
      </c>
      <c r="F291" s="375"/>
      <c r="G291" s="375">
        <v>3395000</v>
      </c>
      <c r="H291" s="366"/>
    </row>
    <row r="292" spans="1:8" ht="15">
      <c r="A292" s="310">
        <v>11</v>
      </c>
      <c r="B292" s="401" t="s">
        <v>105</v>
      </c>
      <c r="C292" s="366">
        <v>28</v>
      </c>
      <c r="D292" s="374">
        <v>30.21</v>
      </c>
      <c r="E292" s="375">
        <v>8950</v>
      </c>
      <c r="F292" s="375">
        <v>1790000</v>
      </c>
      <c r="G292" s="375">
        <v>358000</v>
      </c>
      <c r="H292" s="375">
        <v>50</v>
      </c>
    </row>
    <row r="293" spans="1:8" ht="15">
      <c r="A293" s="1118" t="s">
        <v>129</v>
      </c>
      <c r="B293" s="1119"/>
      <c r="C293" s="750">
        <f aca="true" t="shared" si="15" ref="C293:H293">SUM(C282:C292)</f>
        <v>74</v>
      </c>
      <c r="D293" s="751">
        <f t="shared" si="15"/>
        <v>125.20750000000001</v>
      </c>
      <c r="E293" s="752">
        <f t="shared" si="15"/>
        <v>222784</v>
      </c>
      <c r="F293" s="750">
        <f t="shared" si="15"/>
        <v>72724450</v>
      </c>
      <c r="G293" s="752">
        <f t="shared" si="15"/>
        <v>8788708</v>
      </c>
      <c r="H293" s="752">
        <f t="shared" si="15"/>
        <v>288</v>
      </c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448" t="s">
        <v>131</v>
      </c>
      <c r="E295" s="7"/>
      <c r="F295" s="7"/>
      <c r="G295" s="7"/>
      <c r="H295" s="7"/>
    </row>
    <row r="296" spans="1:8" ht="15" customHeight="1">
      <c r="A296" s="1099" t="s">
        <v>4</v>
      </c>
      <c r="B296" s="1101" t="s">
        <v>114</v>
      </c>
      <c r="C296" s="735" t="s">
        <v>6</v>
      </c>
      <c r="D296" s="735" t="s">
        <v>7</v>
      </c>
      <c r="E296" s="735" t="s">
        <v>8</v>
      </c>
      <c r="F296" s="735" t="s">
        <v>9</v>
      </c>
      <c r="G296" s="735" t="s">
        <v>10</v>
      </c>
      <c r="H296" s="735" t="s">
        <v>11</v>
      </c>
    </row>
    <row r="297" spans="1:8" ht="15">
      <c r="A297" s="1100"/>
      <c r="B297" s="1102"/>
      <c r="C297" s="746" t="s">
        <v>268</v>
      </c>
      <c r="D297" s="746" t="s">
        <v>277</v>
      </c>
      <c r="E297" s="746" t="s">
        <v>13</v>
      </c>
      <c r="F297" s="737" t="s">
        <v>391</v>
      </c>
      <c r="G297" s="737" t="s">
        <v>391</v>
      </c>
      <c r="H297" s="746" t="s">
        <v>15</v>
      </c>
    </row>
    <row r="298" spans="1:8" ht="15">
      <c r="A298" s="310">
        <v>1</v>
      </c>
      <c r="B298" s="401" t="s">
        <v>20</v>
      </c>
      <c r="C298" s="366">
        <v>1</v>
      </c>
      <c r="D298" s="374">
        <v>1</v>
      </c>
      <c r="E298" s="366"/>
      <c r="F298" s="375"/>
      <c r="G298" s="375">
        <v>16000</v>
      </c>
      <c r="H298" s="366">
        <v>2</v>
      </c>
    </row>
    <row r="299" spans="1:8" ht="15">
      <c r="A299" s="310">
        <v>2</v>
      </c>
      <c r="B299" s="401" t="s">
        <v>95</v>
      </c>
      <c r="C299" s="366">
        <v>1</v>
      </c>
      <c r="D299" s="559">
        <v>1</v>
      </c>
      <c r="E299" s="375"/>
      <c r="F299" s="366"/>
      <c r="G299" s="375">
        <v>0</v>
      </c>
      <c r="H299" s="375"/>
    </row>
    <row r="300" spans="1:8" ht="15">
      <c r="A300" s="310">
        <v>3</v>
      </c>
      <c r="B300" s="401" t="s">
        <v>97</v>
      </c>
      <c r="C300" s="366">
        <v>42</v>
      </c>
      <c r="D300" s="374">
        <v>42.08</v>
      </c>
      <c r="E300" s="375">
        <v>11984</v>
      </c>
      <c r="F300" s="375">
        <v>2696400</v>
      </c>
      <c r="G300" s="561">
        <v>1740000</v>
      </c>
      <c r="H300" s="375">
        <v>15</v>
      </c>
    </row>
    <row r="301" spans="1:8" ht="15">
      <c r="A301" s="1118" t="s">
        <v>129</v>
      </c>
      <c r="B301" s="1119"/>
      <c r="C301" s="750">
        <f aca="true" t="shared" si="16" ref="C301:H301">SUM(C298:C300)</f>
        <v>44</v>
      </c>
      <c r="D301" s="751">
        <f t="shared" si="16"/>
        <v>44.08</v>
      </c>
      <c r="E301" s="752">
        <f t="shared" si="16"/>
        <v>11984</v>
      </c>
      <c r="F301" s="750">
        <f t="shared" si="16"/>
        <v>2696400</v>
      </c>
      <c r="G301" s="752">
        <f t="shared" si="16"/>
        <v>1756000</v>
      </c>
      <c r="H301" s="752">
        <f t="shared" si="16"/>
        <v>17</v>
      </c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448" t="s">
        <v>166</v>
      </c>
      <c r="E303" s="7"/>
      <c r="F303" s="7"/>
      <c r="G303" s="7"/>
      <c r="H303" s="7"/>
    </row>
    <row r="304" spans="1:8" ht="15" customHeight="1">
      <c r="A304" s="1099" t="s">
        <v>4</v>
      </c>
      <c r="B304" s="1101" t="s">
        <v>114</v>
      </c>
      <c r="C304" s="735" t="s">
        <v>6</v>
      </c>
      <c r="D304" s="735" t="s">
        <v>7</v>
      </c>
      <c r="E304" s="735" t="s">
        <v>8</v>
      </c>
      <c r="F304" s="735" t="s">
        <v>9</v>
      </c>
      <c r="G304" s="735" t="s">
        <v>10</v>
      </c>
      <c r="H304" s="735" t="s">
        <v>11</v>
      </c>
    </row>
    <row r="305" spans="1:8" ht="15">
      <c r="A305" s="1100"/>
      <c r="B305" s="1102"/>
      <c r="C305" s="746" t="s">
        <v>268</v>
      </c>
      <c r="D305" s="746" t="s">
        <v>277</v>
      </c>
      <c r="E305" s="746" t="s">
        <v>13</v>
      </c>
      <c r="F305" s="737" t="s">
        <v>391</v>
      </c>
      <c r="G305" s="737" t="s">
        <v>391</v>
      </c>
      <c r="H305" s="746" t="s">
        <v>15</v>
      </c>
    </row>
    <row r="306" spans="1:8" ht="15">
      <c r="A306" s="310">
        <v>1</v>
      </c>
      <c r="B306" s="401" t="s">
        <v>79</v>
      </c>
      <c r="C306" s="366"/>
      <c r="D306" s="374"/>
      <c r="E306" s="564"/>
      <c r="F306" s="560"/>
      <c r="G306" s="564"/>
      <c r="H306" s="375"/>
    </row>
    <row r="307" spans="1:8" ht="15">
      <c r="A307" s="310">
        <v>2</v>
      </c>
      <c r="B307" s="401" t="s">
        <v>81</v>
      </c>
      <c r="C307" s="366">
        <v>186</v>
      </c>
      <c r="D307" s="366">
        <v>186</v>
      </c>
      <c r="E307" s="375">
        <v>1075823</v>
      </c>
      <c r="F307" s="366">
        <v>80686725</v>
      </c>
      <c r="G307" s="375">
        <v>18289000</v>
      </c>
      <c r="H307" s="375">
        <v>558</v>
      </c>
    </row>
    <row r="308" spans="1:8" ht="15">
      <c r="A308" s="310">
        <v>3</v>
      </c>
      <c r="B308" s="401" t="s">
        <v>182</v>
      </c>
      <c r="C308" s="366">
        <v>31</v>
      </c>
      <c r="D308" s="366">
        <v>37.35</v>
      </c>
      <c r="E308" s="375">
        <v>22596</v>
      </c>
      <c r="F308" s="375">
        <v>7908600</v>
      </c>
      <c r="G308" s="375">
        <v>1425000</v>
      </c>
      <c r="H308" s="366">
        <v>340</v>
      </c>
    </row>
    <row r="309" spans="1:8" ht="15">
      <c r="A309" s="1118" t="s">
        <v>129</v>
      </c>
      <c r="B309" s="1119"/>
      <c r="C309" s="750">
        <f aca="true" t="shared" si="17" ref="C309:H309">SUM(C306:C308)</f>
        <v>217</v>
      </c>
      <c r="D309" s="751">
        <f t="shared" si="17"/>
        <v>223.35</v>
      </c>
      <c r="E309" s="750">
        <f t="shared" si="17"/>
        <v>1098419</v>
      </c>
      <c r="F309" s="750">
        <f t="shared" si="17"/>
        <v>88595325</v>
      </c>
      <c r="G309" s="750">
        <f t="shared" si="17"/>
        <v>19714000</v>
      </c>
      <c r="H309" s="750">
        <f t="shared" si="17"/>
        <v>898</v>
      </c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448" t="s">
        <v>184</v>
      </c>
      <c r="E311" s="7"/>
      <c r="F311" s="7"/>
      <c r="G311" s="7"/>
      <c r="H311" s="7"/>
    </row>
    <row r="312" spans="1:8" ht="15" customHeight="1">
      <c r="A312" s="1099" t="s">
        <v>4</v>
      </c>
      <c r="B312" s="1101" t="s">
        <v>114</v>
      </c>
      <c r="C312" s="735" t="s">
        <v>6</v>
      </c>
      <c r="D312" s="735" t="s">
        <v>7</v>
      </c>
      <c r="E312" s="735" t="s">
        <v>8</v>
      </c>
      <c r="F312" s="735" t="s">
        <v>9</v>
      </c>
      <c r="G312" s="735" t="s">
        <v>10</v>
      </c>
      <c r="H312" s="735" t="s">
        <v>11</v>
      </c>
    </row>
    <row r="313" spans="1:8" ht="15">
      <c r="A313" s="1100"/>
      <c r="B313" s="1102"/>
      <c r="C313" s="746" t="s">
        <v>268</v>
      </c>
      <c r="D313" s="746" t="s">
        <v>277</v>
      </c>
      <c r="E313" s="746" t="s">
        <v>13</v>
      </c>
      <c r="F313" s="737" t="s">
        <v>391</v>
      </c>
      <c r="G313" s="737" t="s">
        <v>391</v>
      </c>
      <c r="H313" s="746" t="s">
        <v>15</v>
      </c>
    </row>
    <row r="314" spans="1:8" ht="15">
      <c r="A314" s="310">
        <v>1</v>
      </c>
      <c r="B314" s="401" t="s">
        <v>106</v>
      </c>
      <c r="C314" s="553">
        <v>1</v>
      </c>
      <c r="D314" s="554"/>
      <c r="E314" s="555">
        <v>195</v>
      </c>
      <c r="F314" s="553">
        <v>2925000</v>
      </c>
      <c r="G314" s="555">
        <v>131000</v>
      </c>
      <c r="H314" s="375">
        <v>15</v>
      </c>
    </row>
    <row r="315" spans="1:8" ht="15">
      <c r="A315" s="1118" t="s">
        <v>129</v>
      </c>
      <c r="B315" s="1119"/>
      <c r="C315" s="750">
        <f>SUM(C314)</f>
        <v>1</v>
      </c>
      <c r="D315" s="751"/>
      <c r="E315" s="752">
        <f>SUM(E314)</f>
        <v>195</v>
      </c>
      <c r="F315" s="750">
        <f>SUM(F314)</f>
        <v>2925000</v>
      </c>
      <c r="G315" s="752">
        <f>SUM(G314)</f>
        <v>131000</v>
      </c>
      <c r="H315" s="752">
        <f>SUM(H314)</f>
        <v>15</v>
      </c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448" t="s">
        <v>140</v>
      </c>
      <c r="E318" s="7"/>
      <c r="F318" s="7"/>
      <c r="G318" s="7"/>
      <c r="H318" s="7"/>
    </row>
    <row r="319" spans="1:8" ht="15" customHeight="1">
      <c r="A319" s="1099" t="s">
        <v>4</v>
      </c>
      <c r="B319" s="1101" t="s">
        <v>114</v>
      </c>
      <c r="C319" s="735" t="s">
        <v>6</v>
      </c>
      <c r="D319" s="735" t="s">
        <v>7</v>
      </c>
      <c r="E319" s="735" t="s">
        <v>8</v>
      </c>
      <c r="F319" s="735" t="s">
        <v>9</v>
      </c>
      <c r="G319" s="735" t="s">
        <v>10</v>
      </c>
      <c r="H319" s="735" t="s">
        <v>11</v>
      </c>
    </row>
    <row r="320" spans="1:8" ht="15">
      <c r="A320" s="1100"/>
      <c r="B320" s="1102"/>
      <c r="C320" s="746" t="s">
        <v>268</v>
      </c>
      <c r="D320" s="746" t="s">
        <v>277</v>
      </c>
      <c r="E320" s="746" t="s">
        <v>13</v>
      </c>
      <c r="F320" s="737" t="s">
        <v>391</v>
      </c>
      <c r="G320" s="737" t="s">
        <v>391</v>
      </c>
      <c r="H320" s="746" t="s">
        <v>15</v>
      </c>
    </row>
    <row r="321" spans="1:8" ht="15">
      <c r="A321" s="310">
        <v>1</v>
      </c>
      <c r="B321" s="401" t="s">
        <v>161</v>
      </c>
      <c r="C321" s="366">
        <v>128</v>
      </c>
      <c r="D321" s="374">
        <v>2094.44</v>
      </c>
      <c r="E321" s="375">
        <v>235557</v>
      </c>
      <c r="F321" s="366">
        <v>164889900</v>
      </c>
      <c r="G321" s="375">
        <v>165628000</v>
      </c>
      <c r="H321" s="375">
        <v>750</v>
      </c>
    </row>
    <row r="322" spans="1:8" ht="15">
      <c r="A322" s="310">
        <v>2</v>
      </c>
      <c r="B322" s="558" t="s">
        <v>138</v>
      </c>
      <c r="C322" s="366">
        <v>16</v>
      </c>
      <c r="D322" s="366">
        <v>15.99</v>
      </c>
      <c r="E322" s="375">
        <v>721465</v>
      </c>
      <c r="F322" s="366">
        <v>901831250</v>
      </c>
      <c r="G322" s="375">
        <v>124912500</v>
      </c>
      <c r="H322" s="375">
        <v>4185</v>
      </c>
    </row>
    <row r="323" spans="1:8" ht="15">
      <c r="A323" s="310">
        <v>3</v>
      </c>
      <c r="B323" s="401" t="s">
        <v>42</v>
      </c>
      <c r="C323" s="366">
        <v>3</v>
      </c>
      <c r="D323" s="366">
        <v>7.2</v>
      </c>
      <c r="E323" s="568"/>
      <c r="F323" s="557"/>
      <c r="G323" s="375">
        <v>415000</v>
      </c>
      <c r="H323" s="375">
        <v>260</v>
      </c>
    </row>
    <row r="324" spans="1:8" ht="15">
      <c r="A324" s="310">
        <v>4</v>
      </c>
      <c r="B324" s="401" t="s">
        <v>147</v>
      </c>
      <c r="C324" s="366"/>
      <c r="D324" s="366"/>
      <c r="E324" s="375">
        <v>2890000</v>
      </c>
      <c r="F324" s="366">
        <v>2023000000</v>
      </c>
      <c r="G324" s="375">
        <v>294162000</v>
      </c>
      <c r="H324" s="375">
        <v>12000</v>
      </c>
    </row>
    <row r="325" spans="1:8" ht="15">
      <c r="A325" s="310">
        <v>5</v>
      </c>
      <c r="B325" s="401" t="s">
        <v>49</v>
      </c>
      <c r="C325" s="562">
        <v>39</v>
      </c>
      <c r="D325" s="569">
        <v>1703.03</v>
      </c>
      <c r="E325" s="559">
        <v>42161.43</v>
      </c>
      <c r="F325" s="560">
        <v>6324215</v>
      </c>
      <c r="G325" s="375">
        <v>4848565</v>
      </c>
      <c r="H325" s="375">
        <v>320</v>
      </c>
    </row>
    <row r="326" spans="1:8" ht="15">
      <c r="A326" s="310">
        <v>6</v>
      </c>
      <c r="B326" s="401" t="s">
        <v>65</v>
      </c>
      <c r="C326" s="366"/>
      <c r="D326" s="374"/>
      <c r="E326" s="375">
        <v>147335</v>
      </c>
      <c r="F326" s="366">
        <v>22100250</v>
      </c>
      <c r="G326" s="375">
        <v>3928956</v>
      </c>
      <c r="H326" s="375">
        <v>50</v>
      </c>
    </row>
    <row r="327" spans="1:8" ht="15">
      <c r="A327" s="310">
        <v>7</v>
      </c>
      <c r="B327" s="401" t="s">
        <v>154</v>
      </c>
      <c r="C327" s="366">
        <v>373</v>
      </c>
      <c r="D327" s="374">
        <v>1186.3818</v>
      </c>
      <c r="E327" s="556">
        <v>2068896</v>
      </c>
      <c r="F327" s="557">
        <v>2205000000</v>
      </c>
      <c r="G327" s="375">
        <v>208059000</v>
      </c>
      <c r="H327" s="375">
        <v>3730</v>
      </c>
    </row>
    <row r="328" spans="1:8" ht="15">
      <c r="A328" s="310">
        <v>8</v>
      </c>
      <c r="B328" s="401" t="s">
        <v>155</v>
      </c>
      <c r="C328" s="366">
        <v>486</v>
      </c>
      <c r="D328" s="374">
        <v>834.211</v>
      </c>
      <c r="E328" s="375">
        <v>261450</v>
      </c>
      <c r="F328" s="366">
        <v>183015000</v>
      </c>
      <c r="G328" s="375">
        <v>46945628</v>
      </c>
      <c r="H328" s="375">
        <v>7290</v>
      </c>
    </row>
    <row r="329" spans="1:8" ht="15">
      <c r="A329" s="310">
        <v>9</v>
      </c>
      <c r="B329" s="401" t="s">
        <v>68</v>
      </c>
      <c r="C329" s="366"/>
      <c r="D329" s="366"/>
      <c r="E329" s="375"/>
      <c r="F329" s="366"/>
      <c r="G329" s="375">
        <v>17319517</v>
      </c>
      <c r="H329" s="375"/>
    </row>
    <row r="330" spans="1:8" ht="15">
      <c r="A330" s="310">
        <v>10</v>
      </c>
      <c r="B330" s="401" t="s">
        <v>163</v>
      </c>
      <c r="C330" s="566">
        <v>52</v>
      </c>
      <c r="D330" s="567">
        <v>86.69</v>
      </c>
      <c r="E330" s="555">
        <v>22251</v>
      </c>
      <c r="F330" s="553">
        <v>17800800</v>
      </c>
      <c r="G330" s="555">
        <v>4923412</v>
      </c>
      <c r="H330" s="556">
        <v>190</v>
      </c>
    </row>
    <row r="331" spans="1:8" ht="15">
      <c r="A331" s="310">
        <v>11</v>
      </c>
      <c r="B331" s="401" t="s">
        <v>81</v>
      </c>
      <c r="C331" s="366">
        <v>26</v>
      </c>
      <c r="D331" s="366">
        <v>26</v>
      </c>
      <c r="E331" s="375">
        <v>5778414</v>
      </c>
      <c r="F331" s="366">
        <v>1444603500</v>
      </c>
      <c r="G331" s="375">
        <v>360490000</v>
      </c>
      <c r="H331" s="375">
        <v>32000</v>
      </c>
    </row>
    <row r="332" spans="1:8" ht="15">
      <c r="A332" s="310">
        <v>12</v>
      </c>
      <c r="B332" s="401" t="s">
        <v>167</v>
      </c>
      <c r="C332" s="366">
        <v>146</v>
      </c>
      <c r="D332" s="366">
        <v>6441.81</v>
      </c>
      <c r="E332" s="375">
        <v>845158</v>
      </c>
      <c r="F332" s="366">
        <v>321160040</v>
      </c>
      <c r="G332" s="375">
        <v>120354000</v>
      </c>
      <c r="H332" s="375">
        <v>15400</v>
      </c>
    </row>
    <row r="333" spans="1:8" ht="15">
      <c r="A333" s="310">
        <v>13</v>
      </c>
      <c r="B333" s="401" t="s">
        <v>83</v>
      </c>
      <c r="C333" s="366">
        <v>7</v>
      </c>
      <c r="D333" s="374">
        <v>9.23</v>
      </c>
      <c r="E333" s="366">
        <v>26510</v>
      </c>
      <c r="F333" s="375">
        <v>26510003</v>
      </c>
      <c r="G333" s="375">
        <v>374807</v>
      </c>
      <c r="H333" s="375">
        <v>30</v>
      </c>
    </row>
    <row r="334" spans="1:8" ht="15">
      <c r="A334" s="310">
        <v>14</v>
      </c>
      <c r="B334" s="401" t="s">
        <v>86</v>
      </c>
      <c r="C334" s="366"/>
      <c r="D334" s="374"/>
      <c r="E334" s="375">
        <v>140250</v>
      </c>
      <c r="F334" s="366">
        <v>70125000</v>
      </c>
      <c r="G334" s="375"/>
      <c r="H334" s="375">
        <v>360</v>
      </c>
    </row>
    <row r="335" spans="1:8" ht="15">
      <c r="A335" s="310">
        <v>15</v>
      </c>
      <c r="B335" s="401" t="s">
        <v>93</v>
      </c>
      <c r="C335" s="366">
        <v>4</v>
      </c>
      <c r="D335" s="374">
        <v>3.44</v>
      </c>
      <c r="E335" s="375">
        <v>410</v>
      </c>
      <c r="F335" s="366">
        <v>1148000</v>
      </c>
      <c r="G335" s="375">
        <v>108000</v>
      </c>
      <c r="H335" s="375">
        <v>8</v>
      </c>
    </row>
    <row r="336" spans="1:8" ht="15">
      <c r="A336" s="1118" t="s">
        <v>129</v>
      </c>
      <c r="B336" s="1119"/>
      <c r="C336" s="750">
        <f aca="true" t="shared" si="18" ref="C336:H336">SUM(C321:C335)</f>
        <v>1280</v>
      </c>
      <c r="D336" s="751">
        <f t="shared" si="18"/>
        <v>12408.4228</v>
      </c>
      <c r="E336" s="752">
        <f t="shared" si="18"/>
        <v>13179857.43</v>
      </c>
      <c r="F336" s="750">
        <f t="shared" si="18"/>
        <v>7387507958</v>
      </c>
      <c r="G336" s="752">
        <f t="shared" si="18"/>
        <v>1352469385</v>
      </c>
      <c r="H336" s="752">
        <f t="shared" si="18"/>
        <v>76573</v>
      </c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448" t="s">
        <v>162</v>
      </c>
      <c r="E338" s="7"/>
      <c r="F338" s="7"/>
      <c r="G338" s="7"/>
      <c r="H338" s="7"/>
    </row>
    <row r="339" spans="1:8" ht="15" customHeight="1">
      <c r="A339" s="1099" t="s">
        <v>4</v>
      </c>
      <c r="B339" s="1101" t="s">
        <v>114</v>
      </c>
      <c r="C339" s="735" t="s">
        <v>6</v>
      </c>
      <c r="D339" s="735" t="s">
        <v>7</v>
      </c>
      <c r="E339" s="735" t="s">
        <v>8</v>
      </c>
      <c r="F339" s="735" t="s">
        <v>9</v>
      </c>
      <c r="G339" s="735" t="s">
        <v>10</v>
      </c>
      <c r="H339" s="735" t="s">
        <v>11</v>
      </c>
    </row>
    <row r="340" spans="1:8" ht="15">
      <c r="A340" s="1100"/>
      <c r="B340" s="1102"/>
      <c r="C340" s="746" t="s">
        <v>268</v>
      </c>
      <c r="D340" s="746" t="s">
        <v>277</v>
      </c>
      <c r="E340" s="746" t="s">
        <v>13</v>
      </c>
      <c r="F340" s="737" t="s">
        <v>391</v>
      </c>
      <c r="G340" s="737" t="s">
        <v>391</v>
      </c>
      <c r="H340" s="746" t="s">
        <v>15</v>
      </c>
    </row>
    <row r="341" spans="1:8" ht="15">
      <c r="A341" s="310">
        <v>1</v>
      </c>
      <c r="B341" s="401" t="s">
        <v>69</v>
      </c>
      <c r="C341" s="366">
        <v>100</v>
      </c>
      <c r="D341" s="374">
        <v>117.04</v>
      </c>
      <c r="E341" s="375">
        <v>433551</v>
      </c>
      <c r="F341" s="366">
        <v>650326500</v>
      </c>
      <c r="G341" s="375">
        <v>84542658</v>
      </c>
      <c r="H341" s="375">
        <v>1000</v>
      </c>
    </row>
    <row r="342" spans="1:8" ht="15">
      <c r="A342" s="310">
        <v>2</v>
      </c>
      <c r="B342" s="401" t="s">
        <v>94</v>
      </c>
      <c r="C342" s="366">
        <v>170</v>
      </c>
      <c r="D342" s="366">
        <v>188.04</v>
      </c>
      <c r="E342" s="375">
        <v>1001651</v>
      </c>
      <c r="F342" s="366">
        <v>1502476153</v>
      </c>
      <c r="G342" s="375">
        <v>195321900</v>
      </c>
      <c r="H342" s="375">
        <v>1200</v>
      </c>
    </row>
    <row r="343" spans="1:8" ht="15">
      <c r="A343" s="310">
        <v>3</v>
      </c>
      <c r="B343" s="401" t="s">
        <v>108</v>
      </c>
      <c r="C343" s="366">
        <v>18</v>
      </c>
      <c r="D343" s="366">
        <v>20.88</v>
      </c>
      <c r="E343" s="375">
        <v>72220</v>
      </c>
      <c r="F343" s="375">
        <v>86664000</v>
      </c>
      <c r="G343" s="366">
        <v>14083000</v>
      </c>
      <c r="H343" s="375">
        <v>250</v>
      </c>
    </row>
    <row r="344" spans="1:8" ht="15">
      <c r="A344" s="1118" t="s">
        <v>129</v>
      </c>
      <c r="B344" s="1119"/>
      <c r="C344" s="750">
        <f aca="true" t="shared" si="19" ref="C344:H344">SUM(C341:C343)</f>
        <v>288</v>
      </c>
      <c r="D344" s="751">
        <f t="shared" si="19"/>
        <v>325.96</v>
      </c>
      <c r="E344" s="752">
        <f t="shared" si="19"/>
        <v>1507422</v>
      </c>
      <c r="F344" s="750">
        <f t="shared" si="19"/>
        <v>2239466653</v>
      </c>
      <c r="G344" s="752">
        <f t="shared" si="19"/>
        <v>293947558</v>
      </c>
      <c r="H344" s="752">
        <f t="shared" si="19"/>
        <v>2450</v>
      </c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448" t="s">
        <v>127</v>
      </c>
      <c r="E346" s="7"/>
      <c r="F346" s="7"/>
      <c r="G346" s="7"/>
      <c r="H346" s="7"/>
    </row>
    <row r="347" spans="1:8" ht="15" customHeight="1">
      <c r="A347" s="1099" t="s">
        <v>4</v>
      </c>
      <c r="B347" s="1101" t="s">
        <v>114</v>
      </c>
      <c r="C347" s="735" t="s">
        <v>6</v>
      </c>
      <c r="D347" s="735" t="s">
        <v>7</v>
      </c>
      <c r="E347" s="735" t="s">
        <v>8</v>
      </c>
      <c r="F347" s="735" t="s">
        <v>9</v>
      </c>
      <c r="G347" s="735" t="s">
        <v>10</v>
      </c>
      <c r="H347" s="735" t="s">
        <v>11</v>
      </c>
    </row>
    <row r="348" spans="1:8" ht="15">
      <c r="A348" s="1100"/>
      <c r="B348" s="1102"/>
      <c r="C348" s="746" t="s">
        <v>268</v>
      </c>
      <c r="D348" s="746" t="s">
        <v>277</v>
      </c>
      <c r="E348" s="746" t="s">
        <v>13</v>
      </c>
      <c r="F348" s="737" t="s">
        <v>391</v>
      </c>
      <c r="G348" s="737" t="s">
        <v>391</v>
      </c>
      <c r="H348" s="746" t="s">
        <v>15</v>
      </c>
    </row>
    <row r="349" spans="1:8" ht="15">
      <c r="A349" s="310">
        <v>1</v>
      </c>
      <c r="B349" s="401" t="s">
        <v>3</v>
      </c>
      <c r="C349" s="366"/>
      <c r="D349" s="374"/>
      <c r="E349" s="568"/>
      <c r="F349" s="557"/>
      <c r="G349" s="375"/>
      <c r="H349" s="375"/>
    </row>
    <row r="350" spans="1:8" ht="15">
      <c r="A350" s="310">
        <v>2</v>
      </c>
      <c r="B350" s="401" t="s">
        <v>155</v>
      </c>
      <c r="C350" s="366">
        <v>3</v>
      </c>
      <c r="D350" s="374">
        <v>3</v>
      </c>
      <c r="E350" s="375">
        <v>375</v>
      </c>
      <c r="F350" s="366">
        <v>187500</v>
      </c>
      <c r="G350" s="375">
        <v>103530</v>
      </c>
      <c r="H350" s="375">
        <v>4</v>
      </c>
    </row>
    <row r="351" spans="1:8" ht="15">
      <c r="A351" s="310">
        <v>3</v>
      </c>
      <c r="B351" s="401" t="s">
        <v>84</v>
      </c>
      <c r="C351" s="366">
        <v>13</v>
      </c>
      <c r="D351" s="366">
        <v>32.09</v>
      </c>
      <c r="E351" s="375">
        <v>18670</v>
      </c>
      <c r="F351" s="375">
        <v>3734000</v>
      </c>
      <c r="G351" s="375">
        <v>1587000</v>
      </c>
      <c r="H351" s="375">
        <v>100</v>
      </c>
    </row>
    <row r="352" spans="1:8" ht="15">
      <c r="A352" s="310">
        <v>4</v>
      </c>
      <c r="B352" s="401" t="s">
        <v>105</v>
      </c>
      <c r="C352" s="366">
        <v>3</v>
      </c>
      <c r="D352" s="374">
        <v>2.65</v>
      </c>
      <c r="E352" s="375">
        <v>1200</v>
      </c>
      <c r="F352" s="375">
        <v>240000</v>
      </c>
      <c r="G352" s="366">
        <v>72000</v>
      </c>
      <c r="H352" s="375">
        <v>5</v>
      </c>
    </row>
    <row r="353" spans="1:8" ht="15">
      <c r="A353" s="1118" t="s">
        <v>129</v>
      </c>
      <c r="B353" s="1119"/>
      <c r="C353" s="738">
        <f aca="true" t="shared" si="20" ref="C353:H353">SUM(C349:C352)</f>
        <v>19</v>
      </c>
      <c r="D353" s="739">
        <f t="shared" si="20"/>
        <v>37.74</v>
      </c>
      <c r="E353" s="738">
        <f t="shared" si="20"/>
        <v>20245</v>
      </c>
      <c r="F353" s="738">
        <f t="shared" si="20"/>
        <v>4161500</v>
      </c>
      <c r="G353" s="738">
        <f t="shared" si="20"/>
        <v>1762530</v>
      </c>
      <c r="H353" s="738">
        <f t="shared" si="20"/>
        <v>109</v>
      </c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448" t="s">
        <v>153</v>
      </c>
      <c r="E355" s="7"/>
      <c r="F355" s="7"/>
      <c r="G355" s="7"/>
      <c r="H355" s="7"/>
    </row>
    <row r="356" spans="1:8" ht="15" customHeight="1">
      <c r="A356" s="1099" t="s">
        <v>4</v>
      </c>
      <c r="B356" s="1101" t="s">
        <v>114</v>
      </c>
      <c r="C356" s="735" t="s">
        <v>6</v>
      </c>
      <c r="D356" s="735" t="s">
        <v>7</v>
      </c>
      <c r="E356" s="735" t="s">
        <v>8</v>
      </c>
      <c r="F356" s="735" t="s">
        <v>9</v>
      </c>
      <c r="G356" s="735" t="s">
        <v>10</v>
      </c>
      <c r="H356" s="735" t="s">
        <v>11</v>
      </c>
    </row>
    <row r="357" spans="1:8" ht="15">
      <c r="A357" s="1100"/>
      <c r="B357" s="1102"/>
      <c r="C357" s="746" t="s">
        <v>268</v>
      </c>
      <c r="D357" s="746" t="s">
        <v>277</v>
      </c>
      <c r="E357" s="746" t="s">
        <v>13</v>
      </c>
      <c r="F357" s="737" t="s">
        <v>391</v>
      </c>
      <c r="G357" s="737" t="s">
        <v>391</v>
      </c>
      <c r="H357" s="746" t="s">
        <v>15</v>
      </c>
    </row>
    <row r="358" spans="1:8" ht="15">
      <c r="A358" s="310">
        <v>1</v>
      </c>
      <c r="B358" s="401" t="s">
        <v>68</v>
      </c>
      <c r="C358" s="366"/>
      <c r="D358" s="366"/>
      <c r="E358" s="375">
        <v>50059</v>
      </c>
      <c r="F358" s="366">
        <v>9010620</v>
      </c>
      <c r="G358" s="375">
        <v>2225446</v>
      </c>
      <c r="H358" s="375">
        <v>50</v>
      </c>
    </row>
    <row r="359" spans="1:8" ht="15">
      <c r="A359" s="310">
        <v>2</v>
      </c>
      <c r="B359" s="401" t="s">
        <v>65</v>
      </c>
      <c r="C359" s="366">
        <v>134</v>
      </c>
      <c r="D359" s="374">
        <v>102.74</v>
      </c>
      <c r="E359" s="375">
        <v>4209863</v>
      </c>
      <c r="F359" s="366">
        <v>420986300</v>
      </c>
      <c r="G359" s="375">
        <v>71609702</v>
      </c>
      <c r="H359" s="375">
        <v>900</v>
      </c>
    </row>
    <row r="360" spans="1:8" ht="15">
      <c r="A360" s="1118" t="s">
        <v>129</v>
      </c>
      <c r="B360" s="1119"/>
      <c r="C360" s="738">
        <f aca="true" t="shared" si="21" ref="C360:H360">SUM(C358:C359)</f>
        <v>134</v>
      </c>
      <c r="D360" s="739">
        <f t="shared" si="21"/>
        <v>102.74</v>
      </c>
      <c r="E360" s="738">
        <f t="shared" si="21"/>
        <v>4259922</v>
      </c>
      <c r="F360" s="738">
        <f t="shared" si="21"/>
        <v>429996920</v>
      </c>
      <c r="G360" s="738">
        <f t="shared" si="21"/>
        <v>73835148</v>
      </c>
      <c r="H360" s="738">
        <f t="shared" si="21"/>
        <v>950</v>
      </c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448" t="s">
        <v>128</v>
      </c>
      <c r="E362" s="7"/>
      <c r="F362" s="7"/>
      <c r="G362" s="7"/>
      <c r="H362" s="7"/>
    </row>
    <row r="363" spans="1:8" ht="15" customHeight="1">
      <c r="A363" s="1099" t="s">
        <v>4</v>
      </c>
      <c r="B363" s="1101" t="s">
        <v>114</v>
      </c>
      <c r="C363" s="735" t="s">
        <v>6</v>
      </c>
      <c r="D363" s="735" t="s">
        <v>7</v>
      </c>
      <c r="E363" s="735" t="s">
        <v>8</v>
      </c>
      <c r="F363" s="735" t="s">
        <v>9</v>
      </c>
      <c r="G363" s="735" t="s">
        <v>10</v>
      </c>
      <c r="H363" s="735" t="s">
        <v>11</v>
      </c>
    </row>
    <row r="364" spans="1:8" ht="15">
      <c r="A364" s="1100"/>
      <c r="B364" s="1102"/>
      <c r="C364" s="746" t="s">
        <v>268</v>
      </c>
      <c r="D364" s="746" t="s">
        <v>277</v>
      </c>
      <c r="E364" s="746" t="s">
        <v>13</v>
      </c>
      <c r="F364" s="737" t="s">
        <v>391</v>
      </c>
      <c r="G364" s="737" t="s">
        <v>391</v>
      </c>
      <c r="H364" s="746" t="s">
        <v>15</v>
      </c>
    </row>
    <row r="365" spans="1:8" ht="15">
      <c r="A365" s="310">
        <v>1</v>
      </c>
      <c r="B365" s="401" t="s">
        <v>3</v>
      </c>
      <c r="C365" s="366"/>
      <c r="D365" s="374"/>
      <c r="E365" s="374"/>
      <c r="F365" s="366"/>
      <c r="G365" s="375">
        <v>2352000</v>
      </c>
      <c r="H365" s="375"/>
    </row>
    <row r="366" spans="1:8" ht="15">
      <c r="A366" s="310">
        <v>2</v>
      </c>
      <c r="B366" s="401" t="s">
        <v>20</v>
      </c>
      <c r="C366" s="366"/>
      <c r="D366" s="374"/>
      <c r="E366" s="366"/>
      <c r="F366" s="375"/>
      <c r="G366" s="375">
        <v>15683000</v>
      </c>
      <c r="H366" s="366"/>
    </row>
    <row r="367" spans="1:8" ht="15">
      <c r="A367" s="310">
        <v>3</v>
      </c>
      <c r="B367" s="401" t="s">
        <v>32</v>
      </c>
      <c r="C367" s="366"/>
      <c r="D367" s="374"/>
      <c r="E367" s="374"/>
      <c r="F367" s="375"/>
      <c r="G367" s="375">
        <v>21565743</v>
      </c>
      <c r="H367" s="366"/>
    </row>
    <row r="368" spans="1:8" ht="15">
      <c r="A368" s="310">
        <v>4</v>
      </c>
      <c r="B368" s="558" t="s">
        <v>138</v>
      </c>
      <c r="C368" s="366"/>
      <c r="D368" s="374"/>
      <c r="E368" s="375"/>
      <c r="F368" s="366"/>
      <c r="G368" s="375">
        <v>12510163</v>
      </c>
      <c r="H368" s="375"/>
    </row>
    <row r="369" spans="1:8" ht="15">
      <c r="A369" s="310">
        <v>5</v>
      </c>
      <c r="B369" s="401" t="s">
        <v>37</v>
      </c>
      <c r="C369" s="366"/>
      <c r="D369" s="374"/>
      <c r="E369" s="375"/>
      <c r="F369" s="366"/>
      <c r="G369" s="375">
        <v>7733000</v>
      </c>
      <c r="H369" s="375"/>
    </row>
    <row r="370" spans="1:8" ht="15">
      <c r="A370" s="310">
        <v>6</v>
      </c>
      <c r="B370" s="401" t="s">
        <v>42</v>
      </c>
      <c r="C370" s="366"/>
      <c r="D370" s="374"/>
      <c r="E370" s="556"/>
      <c r="F370" s="557"/>
      <c r="G370" s="375">
        <v>17922000</v>
      </c>
      <c r="H370" s="375"/>
    </row>
    <row r="371" spans="1:8" ht="15">
      <c r="A371" s="310">
        <v>7</v>
      </c>
      <c r="B371" s="401" t="s">
        <v>147</v>
      </c>
      <c r="C371" s="366"/>
      <c r="D371" s="366"/>
      <c r="E371" s="375"/>
      <c r="F371" s="366"/>
      <c r="G371" s="375">
        <v>7246000</v>
      </c>
      <c r="H371" s="375"/>
    </row>
    <row r="372" spans="1:8" ht="15">
      <c r="A372" s="310">
        <v>8</v>
      </c>
      <c r="B372" s="401" t="s">
        <v>49</v>
      </c>
      <c r="C372" s="366"/>
      <c r="D372" s="374"/>
      <c r="E372" s="559"/>
      <c r="F372" s="560"/>
      <c r="G372" s="375">
        <v>17394266</v>
      </c>
      <c r="H372" s="375"/>
    </row>
    <row r="373" spans="1:8" ht="15">
      <c r="A373" s="310">
        <v>9</v>
      </c>
      <c r="B373" s="401" t="s">
        <v>54</v>
      </c>
      <c r="C373" s="366"/>
      <c r="D373" s="374"/>
      <c r="E373" s="375"/>
      <c r="F373" s="366"/>
      <c r="G373" s="375">
        <v>47702332</v>
      </c>
      <c r="H373" s="375"/>
    </row>
    <row r="374" spans="1:8" ht="15">
      <c r="A374" s="310">
        <v>10</v>
      </c>
      <c r="B374" s="401" t="s">
        <v>65</v>
      </c>
      <c r="C374" s="366"/>
      <c r="D374" s="374"/>
      <c r="E374" s="375"/>
      <c r="F374" s="366"/>
      <c r="G374" s="375">
        <v>8236958</v>
      </c>
      <c r="H374" s="375"/>
    </row>
    <row r="375" spans="1:8" ht="15">
      <c r="A375" s="310">
        <v>11</v>
      </c>
      <c r="B375" s="401" t="s">
        <v>154</v>
      </c>
      <c r="C375" s="366"/>
      <c r="D375" s="374"/>
      <c r="E375" s="556"/>
      <c r="F375" s="557"/>
      <c r="G375" s="375"/>
      <c r="H375" s="375"/>
    </row>
    <row r="376" spans="1:8" ht="15">
      <c r="A376" s="310">
        <v>12</v>
      </c>
      <c r="B376" s="401" t="s">
        <v>155</v>
      </c>
      <c r="C376" s="366"/>
      <c r="D376" s="374"/>
      <c r="E376" s="375"/>
      <c r="F376" s="366"/>
      <c r="G376" s="375">
        <v>3332963</v>
      </c>
      <c r="H376" s="375"/>
    </row>
    <row r="377" spans="1:8" ht="15">
      <c r="A377" s="310">
        <v>13</v>
      </c>
      <c r="B377" s="401" t="s">
        <v>68</v>
      </c>
      <c r="C377" s="366"/>
      <c r="D377" s="366"/>
      <c r="E377" s="375"/>
      <c r="F377" s="366"/>
      <c r="G377" s="375">
        <v>4929695</v>
      </c>
      <c r="H377" s="375"/>
    </row>
    <row r="378" spans="1:8" ht="15">
      <c r="A378" s="310">
        <v>14</v>
      </c>
      <c r="B378" s="401" t="s">
        <v>161</v>
      </c>
      <c r="C378" s="366"/>
      <c r="D378" s="374"/>
      <c r="E378" s="375"/>
      <c r="F378" s="366"/>
      <c r="G378" s="375">
        <v>3671000</v>
      </c>
      <c r="H378" s="375"/>
    </row>
    <row r="379" spans="1:8" ht="15">
      <c r="A379" s="310">
        <v>15</v>
      </c>
      <c r="B379" s="401" t="s">
        <v>69</v>
      </c>
      <c r="C379" s="366"/>
      <c r="D379" s="374"/>
      <c r="E379" s="375"/>
      <c r="F379" s="366"/>
      <c r="G379" s="375">
        <v>9909038</v>
      </c>
      <c r="H379" s="375"/>
    </row>
    <row r="380" spans="1:8" ht="15">
      <c r="A380" s="310">
        <v>16</v>
      </c>
      <c r="B380" s="401" t="s">
        <v>71</v>
      </c>
      <c r="C380" s="366"/>
      <c r="D380" s="374"/>
      <c r="E380" s="375"/>
      <c r="F380" s="366"/>
      <c r="G380" s="375">
        <v>1218424</v>
      </c>
      <c r="H380" s="375"/>
    </row>
    <row r="381" spans="1:8" ht="15">
      <c r="A381" s="310">
        <v>17</v>
      </c>
      <c r="B381" s="401" t="s">
        <v>75</v>
      </c>
      <c r="C381" s="366"/>
      <c r="D381" s="374"/>
      <c r="E381" s="375"/>
      <c r="F381" s="366"/>
      <c r="G381" s="375">
        <v>19658000</v>
      </c>
      <c r="H381" s="375"/>
    </row>
    <row r="382" spans="1:8" ht="15">
      <c r="A382" s="310">
        <v>18</v>
      </c>
      <c r="B382" s="401" t="s">
        <v>73</v>
      </c>
      <c r="C382" s="366"/>
      <c r="D382" s="366"/>
      <c r="E382" s="375"/>
      <c r="F382" s="366"/>
      <c r="G382" s="375">
        <v>95340000</v>
      </c>
      <c r="H382" s="375"/>
    </row>
    <row r="383" spans="1:8" ht="15">
      <c r="A383" s="310">
        <v>19</v>
      </c>
      <c r="B383" s="401" t="s">
        <v>79</v>
      </c>
      <c r="C383" s="366"/>
      <c r="D383" s="374"/>
      <c r="E383" s="556"/>
      <c r="F383" s="557"/>
      <c r="G383" s="565">
        <v>27746000</v>
      </c>
      <c r="H383" s="375"/>
    </row>
    <row r="384" spans="1:8" ht="15">
      <c r="A384" s="310">
        <v>20</v>
      </c>
      <c r="B384" s="401" t="s">
        <v>163</v>
      </c>
      <c r="C384" s="566"/>
      <c r="D384" s="567"/>
      <c r="E384" s="555"/>
      <c r="F384" s="553"/>
      <c r="G384" s="555">
        <v>26202822</v>
      </c>
      <c r="H384" s="556"/>
    </row>
    <row r="385" spans="1:8" ht="15">
      <c r="A385" s="310">
        <v>21</v>
      </c>
      <c r="B385" s="401" t="s">
        <v>81</v>
      </c>
      <c r="C385" s="366"/>
      <c r="D385" s="374"/>
      <c r="E385" s="375"/>
      <c r="F385" s="366"/>
      <c r="G385" s="375">
        <v>71015000</v>
      </c>
      <c r="H385" s="375"/>
    </row>
    <row r="386" spans="1:8" ht="15">
      <c r="A386" s="310">
        <v>22</v>
      </c>
      <c r="B386" s="401" t="s">
        <v>167</v>
      </c>
      <c r="C386" s="366"/>
      <c r="D386" s="366"/>
      <c r="E386" s="375"/>
      <c r="F386" s="366"/>
      <c r="G386" s="375">
        <v>10812000</v>
      </c>
      <c r="H386" s="375"/>
    </row>
    <row r="387" spans="1:8" ht="15">
      <c r="A387" s="310">
        <v>23</v>
      </c>
      <c r="B387" s="401" t="s">
        <v>83</v>
      </c>
      <c r="C387" s="366"/>
      <c r="D387" s="374"/>
      <c r="E387" s="559"/>
      <c r="F387" s="366"/>
      <c r="G387" s="375">
        <v>22711258</v>
      </c>
      <c r="H387" s="375"/>
    </row>
    <row r="388" spans="1:8" ht="15">
      <c r="A388" s="310">
        <v>24</v>
      </c>
      <c r="B388" s="401" t="s">
        <v>84</v>
      </c>
      <c r="C388" s="366"/>
      <c r="D388" s="366"/>
      <c r="E388" s="375"/>
      <c r="F388" s="375"/>
      <c r="G388" s="375">
        <v>2134000</v>
      </c>
      <c r="H388" s="375"/>
    </row>
    <row r="389" spans="1:8" ht="15">
      <c r="A389" s="310">
        <v>25</v>
      </c>
      <c r="B389" s="401" t="s">
        <v>86</v>
      </c>
      <c r="C389" s="366"/>
      <c r="D389" s="374"/>
      <c r="E389" s="375"/>
      <c r="F389" s="366"/>
      <c r="G389" s="375">
        <v>11013000</v>
      </c>
      <c r="H389" s="375"/>
    </row>
    <row r="390" spans="1:8" ht="15">
      <c r="A390" s="310">
        <v>26</v>
      </c>
      <c r="B390" s="401" t="s">
        <v>88</v>
      </c>
      <c r="C390" s="366"/>
      <c r="D390" s="366"/>
      <c r="E390" s="375"/>
      <c r="F390" s="366"/>
      <c r="G390" s="375">
        <v>1343043</v>
      </c>
      <c r="H390" s="375"/>
    </row>
    <row r="391" spans="1:8" ht="15">
      <c r="A391" s="310">
        <v>27</v>
      </c>
      <c r="B391" s="400" t="s">
        <v>264</v>
      </c>
      <c r="C391" s="366"/>
      <c r="D391" s="366"/>
      <c r="E391" s="375"/>
      <c r="F391" s="366"/>
      <c r="G391" s="375">
        <v>8796000</v>
      </c>
      <c r="H391" s="375"/>
    </row>
    <row r="392" spans="1:8" ht="15">
      <c r="A392" s="310">
        <v>28</v>
      </c>
      <c r="B392" s="401" t="s">
        <v>89</v>
      </c>
      <c r="C392" s="366"/>
      <c r="D392" s="374"/>
      <c r="E392" s="375"/>
      <c r="F392" s="366"/>
      <c r="G392" s="375">
        <v>5052000</v>
      </c>
      <c r="H392" s="375"/>
    </row>
    <row r="393" spans="1:8" ht="15">
      <c r="A393" s="310">
        <v>29</v>
      </c>
      <c r="B393" s="401" t="s">
        <v>90</v>
      </c>
      <c r="C393" s="366"/>
      <c r="D393" s="374"/>
      <c r="E393" s="375"/>
      <c r="F393" s="366"/>
      <c r="G393" s="375">
        <v>5498000</v>
      </c>
      <c r="H393" s="375"/>
    </row>
    <row r="394" spans="1:8" ht="15">
      <c r="A394" s="310">
        <v>30</v>
      </c>
      <c r="B394" s="401" t="s">
        <v>93</v>
      </c>
      <c r="C394" s="366"/>
      <c r="D394" s="374"/>
      <c r="E394" s="375"/>
      <c r="F394" s="366"/>
      <c r="G394" s="375">
        <v>4982000</v>
      </c>
      <c r="H394" s="375"/>
    </row>
    <row r="395" spans="1:8" ht="15">
      <c r="A395" s="310">
        <v>31</v>
      </c>
      <c r="B395" s="401" t="s">
        <v>94</v>
      </c>
      <c r="C395" s="366"/>
      <c r="D395" s="366"/>
      <c r="E395" s="375"/>
      <c r="F395" s="366"/>
      <c r="G395" s="375"/>
      <c r="H395" s="375"/>
    </row>
    <row r="396" spans="1:8" ht="15">
      <c r="A396" s="310">
        <v>32</v>
      </c>
      <c r="B396" s="401" t="s">
        <v>95</v>
      </c>
      <c r="C396" s="366"/>
      <c r="D396" s="374"/>
      <c r="E396" s="375"/>
      <c r="F396" s="366"/>
      <c r="G396" s="375">
        <v>4291000</v>
      </c>
      <c r="H396" s="375"/>
    </row>
    <row r="397" spans="1:8" ht="15">
      <c r="A397" s="310">
        <v>33</v>
      </c>
      <c r="B397" s="401" t="s">
        <v>97</v>
      </c>
      <c r="C397" s="366"/>
      <c r="D397" s="374"/>
      <c r="E397" s="375"/>
      <c r="F397" s="366"/>
      <c r="G397" s="561">
        <v>20678000</v>
      </c>
      <c r="H397" s="375"/>
    </row>
    <row r="398" spans="1:8" ht="15">
      <c r="A398" s="310">
        <v>34</v>
      </c>
      <c r="B398" s="401" t="s">
        <v>102</v>
      </c>
      <c r="C398" s="366"/>
      <c r="D398" s="374"/>
      <c r="E398" s="375"/>
      <c r="F398" s="375"/>
      <c r="G398" s="375">
        <v>15742000</v>
      </c>
      <c r="H398" s="366"/>
    </row>
    <row r="399" spans="1:8" ht="15">
      <c r="A399" s="310">
        <v>35</v>
      </c>
      <c r="B399" s="401" t="s">
        <v>182</v>
      </c>
      <c r="C399" s="366"/>
      <c r="D399" s="366"/>
      <c r="E399" s="375"/>
      <c r="F399" s="375"/>
      <c r="G399" s="375">
        <v>8542000</v>
      </c>
      <c r="H399" s="366"/>
    </row>
    <row r="400" spans="1:8" ht="15">
      <c r="A400" s="310">
        <v>36</v>
      </c>
      <c r="B400" s="401" t="s">
        <v>106</v>
      </c>
      <c r="C400" s="553"/>
      <c r="D400" s="554"/>
      <c r="E400" s="554"/>
      <c r="F400" s="555"/>
      <c r="G400" s="555">
        <v>7810000</v>
      </c>
      <c r="H400" s="366"/>
    </row>
    <row r="401" spans="1:8" ht="15">
      <c r="A401" s="310">
        <v>37</v>
      </c>
      <c r="B401" s="401" t="s">
        <v>105</v>
      </c>
      <c r="C401" s="366"/>
      <c r="D401" s="374"/>
      <c r="E401" s="374"/>
      <c r="F401" s="375"/>
      <c r="G401" s="366">
        <v>13139000</v>
      </c>
      <c r="H401" s="375"/>
    </row>
    <row r="402" spans="1:8" ht="15">
      <c r="A402" s="310">
        <v>38</v>
      </c>
      <c r="B402" s="401" t="s">
        <v>108</v>
      </c>
      <c r="C402" s="366"/>
      <c r="D402" s="374"/>
      <c r="E402" s="374"/>
      <c r="F402" s="375"/>
      <c r="G402" s="366">
        <v>50176090</v>
      </c>
      <c r="H402" s="375"/>
    </row>
    <row r="403" spans="1:8" ht="15">
      <c r="A403" s="749"/>
      <c r="B403" s="748" t="s">
        <v>129</v>
      </c>
      <c r="C403" s="738"/>
      <c r="D403" s="739"/>
      <c r="E403" s="738"/>
      <c r="F403" s="738"/>
      <c r="G403" s="738">
        <f>SUM(G365:G402)</f>
        <v>614087795</v>
      </c>
      <c r="H403" s="738"/>
    </row>
    <row r="404" spans="1:8" ht="15">
      <c r="A404" s="173"/>
      <c r="B404" s="173"/>
      <c r="C404" s="173"/>
      <c r="D404" s="173"/>
      <c r="E404" s="173"/>
      <c r="F404" s="173"/>
      <c r="G404" s="173"/>
      <c r="H404" s="173"/>
    </row>
    <row r="405" spans="1:8" ht="15">
      <c r="A405" s="173"/>
      <c r="B405" s="173"/>
      <c r="C405" s="173"/>
      <c r="D405" s="448" t="s">
        <v>41</v>
      </c>
      <c r="E405" s="173"/>
      <c r="F405" s="173"/>
      <c r="G405" s="173"/>
      <c r="H405" s="173"/>
    </row>
    <row r="406" spans="1:8" ht="15" customHeight="1">
      <c r="A406" s="1099" t="s">
        <v>4</v>
      </c>
      <c r="B406" s="1101" t="s">
        <v>114</v>
      </c>
      <c r="C406" s="735" t="s">
        <v>6</v>
      </c>
      <c r="D406" s="735" t="s">
        <v>7</v>
      </c>
      <c r="E406" s="735" t="s">
        <v>8</v>
      </c>
      <c r="F406" s="735" t="s">
        <v>9</v>
      </c>
      <c r="G406" s="735" t="s">
        <v>10</v>
      </c>
      <c r="H406" s="735" t="s">
        <v>11</v>
      </c>
    </row>
    <row r="407" spans="1:8" ht="15">
      <c r="A407" s="1100"/>
      <c r="B407" s="1102"/>
      <c r="C407" s="746" t="s">
        <v>268</v>
      </c>
      <c r="D407" s="746" t="s">
        <v>277</v>
      </c>
      <c r="E407" s="746" t="s">
        <v>13</v>
      </c>
      <c r="F407" s="737" t="s">
        <v>391</v>
      </c>
      <c r="G407" s="737" t="s">
        <v>391</v>
      </c>
      <c r="H407" s="746" t="s">
        <v>15</v>
      </c>
    </row>
    <row r="408" spans="1:8" ht="15">
      <c r="A408" s="310">
        <v>1</v>
      </c>
      <c r="B408" s="401" t="s">
        <v>3</v>
      </c>
      <c r="C408" s="366"/>
      <c r="D408" s="374"/>
      <c r="E408" s="374"/>
      <c r="F408" s="366"/>
      <c r="G408" s="375">
        <v>10794400</v>
      </c>
      <c r="H408" s="375"/>
    </row>
    <row r="409" spans="1:8" ht="15">
      <c r="A409" s="310">
        <v>2</v>
      </c>
      <c r="B409" s="401" t="s">
        <v>20</v>
      </c>
      <c r="C409" s="366"/>
      <c r="D409" s="374"/>
      <c r="E409" s="374"/>
      <c r="F409" s="375"/>
      <c r="G409" s="375">
        <v>300000</v>
      </c>
      <c r="H409" s="366"/>
    </row>
    <row r="410" spans="1:8" ht="15">
      <c r="A410" s="310">
        <v>3</v>
      </c>
      <c r="B410" s="401" t="s">
        <v>32</v>
      </c>
      <c r="C410" s="366"/>
      <c r="D410" s="374"/>
      <c r="E410" s="374"/>
      <c r="F410" s="375"/>
      <c r="G410" s="375">
        <v>34018717</v>
      </c>
      <c r="H410" s="366"/>
    </row>
    <row r="411" spans="1:8" ht="15">
      <c r="A411" s="310">
        <v>4</v>
      </c>
      <c r="B411" s="558" t="s">
        <v>138</v>
      </c>
      <c r="C411" s="366"/>
      <c r="D411" s="374"/>
      <c r="E411" s="375"/>
      <c r="F411" s="366"/>
      <c r="G411" s="375">
        <v>388000</v>
      </c>
      <c r="H411" s="375"/>
    </row>
    <row r="412" spans="1:8" ht="15">
      <c r="A412" s="310">
        <v>5</v>
      </c>
      <c r="B412" s="401" t="s">
        <v>37</v>
      </c>
      <c r="C412" s="366"/>
      <c r="D412" s="374"/>
      <c r="E412" s="375"/>
      <c r="F412" s="366"/>
      <c r="G412" s="375">
        <v>31545000</v>
      </c>
      <c r="H412" s="375"/>
    </row>
    <row r="413" spans="1:8" ht="15">
      <c r="A413" s="310">
        <v>6</v>
      </c>
      <c r="B413" s="401" t="s">
        <v>42</v>
      </c>
      <c r="C413" s="366"/>
      <c r="D413" s="374"/>
      <c r="E413" s="374"/>
      <c r="F413" s="366"/>
      <c r="G413" s="375">
        <v>156154363</v>
      </c>
      <c r="H413" s="375"/>
    </row>
    <row r="414" spans="1:8" ht="15">
      <c r="A414" s="310">
        <v>7</v>
      </c>
      <c r="B414" s="401" t="s">
        <v>147</v>
      </c>
      <c r="C414" s="366"/>
      <c r="D414" s="366"/>
      <c r="E414" s="375"/>
      <c r="F414" s="366"/>
      <c r="G414" s="375">
        <v>9731000</v>
      </c>
      <c r="H414" s="375"/>
    </row>
    <row r="415" spans="1:8" ht="15">
      <c r="A415" s="310">
        <v>8</v>
      </c>
      <c r="B415" s="401" t="s">
        <v>49</v>
      </c>
      <c r="C415" s="366"/>
      <c r="D415" s="374"/>
      <c r="E415" s="375"/>
      <c r="F415" s="560"/>
      <c r="G415" s="375">
        <v>35236677</v>
      </c>
      <c r="H415" s="375"/>
    </row>
    <row r="416" spans="1:8" ht="15">
      <c r="A416" s="310">
        <v>9</v>
      </c>
      <c r="B416" s="401" t="s">
        <v>54</v>
      </c>
      <c r="C416" s="366"/>
      <c r="D416" s="374"/>
      <c r="E416" s="374"/>
      <c r="F416" s="375"/>
      <c r="G416" s="375">
        <v>19131867</v>
      </c>
      <c r="H416" s="366"/>
    </row>
    <row r="417" spans="1:8" ht="15">
      <c r="A417" s="310">
        <v>10</v>
      </c>
      <c r="B417" s="401" t="s">
        <v>65</v>
      </c>
      <c r="C417" s="366"/>
      <c r="D417" s="374"/>
      <c r="E417" s="375"/>
      <c r="F417" s="366"/>
      <c r="G417" s="375">
        <v>4398636</v>
      </c>
      <c r="H417" s="375"/>
    </row>
    <row r="418" spans="1:8" ht="15">
      <c r="A418" s="310">
        <v>11</v>
      </c>
      <c r="B418" s="401" t="s">
        <v>154</v>
      </c>
      <c r="C418" s="366"/>
      <c r="D418" s="374"/>
      <c r="E418" s="375"/>
      <c r="F418" s="366"/>
      <c r="G418" s="375">
        <v>11554000</v>
      </c>
      <c r="H418" s="375"/>
    </row>
    <row r="419" spans="1:8" ht="15">
      <c r="A419" s="310">
        <v>12</v>
      </c>
      <c r="B419" s="401" t="s">
        <v>155</v>
      </c>
      <c r="C419" s="366"/>
      <c r="D419" s="374"/>
      <c r="E419" s="375"/>
      <c r="F419" s="366"/>
      <c r="G419" s="375">
        <v>20473212</v>
      </c>
      <c r="H419" s="375"/>
    </row>
    <row r="420" spans="1:8" ht="15">
      <c r="A420" s="310">
        <v>13</v>
      </c>
      <c r="B420" s="401" t="s">
        <v>68</v>
      </c>
      <c r="C420" s="366"/>
      <c r="D420" s="374"/>
      <c r="E420" s="375"/>
      <c r="F420" s="366"/>
      <c r="G420" s="375">
        <v>1090437</v>
      </c>
      <c r="H420" s="375"/>
    </row>
    <row r="421" spans="1:8" ht="15">
      <c r="A421" s="310">
        <v>14</v>
      </c>
      <c r="B421" s="401" t="s">
        <v>161</v>
      </c>
      <c r="C421" s="366"/>
      <c r="D421" s="374"/>
      <c r="E421" s="375"/>
      <c r="F421" s="366"/>
      <c r="G421" s="375">
        <v>4037000</v>
      </c>
      <c r="H421" s="375"/>
    </row>
    <row r="422" spans="1:8" ht="15">
      <c r="A422" s="310">
        <v>15</v>
      </c>
      <c r="B422" s="401" t="s">
        <v>69</v>
      </c>
      <c r="C422" s="366"/>
      <c r="D422" s="374"/>
      <c r="E422" s="375"/>
      <c r="F422" s="366"/>
      <c r="G422" s="375">
        <v>32105805</v>
      </c>
      <c r="H422" s="375"/>
    </row>
    <row r="423" spans="1:8" ht="15">
      <c r="A423" s="310">
        <v>16</v>
      </c>
      <c r="B423" s="401" t="s">
        <v>71</v>
      </c>
      <c r="C423" s="366"/>
      <c r="D423" s="374"/>
      <c r="E423" s="375"/>
      <c r="F423" s="366"/>
      <c r="G423" s="375">
        <v>1386512</v>
      </c>
      <c r="H423" s="375"/>
    </row>
    <row r="424" spans="1:8" ht="15">
      <c r="A424" s="310">
        <v>17</v>
      </c>
      <c r="B424" s="401" t="s">
        <v>75</v>
      </c>
      <c r="C424" s="366"/>
      <c r="D424" s="374"/>
      <c r="E424" s="375"/>
      <c r="F424" s="366"/>
      <c r="G424" s="375">
        <v>11424252</v>
      </c>
      <c r="H424" s="375"/>
    </row>
    <row r="425" spans="1:8" ht="15">
      <c r="A425" s="310">
        <v>18</v>
      </c>
      <c r="B425" s="401" t="s">
        <v>73</v>
      </c>
      <c r="C425" s="366"/>
      <c r="D425" s="366"/>
      <c r="E425" s="375"/>
      <c r="F425" s="366"/>
      <c r="G425" s="375">
        <v>79611000</v>
      </c>
      <c r="H425" s="375"/>
    </row>
    <row r="426" spans="1:8" ht="15">
      <c r="A426" s="310">
        <v>19</v>
      </c>
      <c r="B426" s="401" t="s">
        <v>79</v>
      </c>
      <c r="C426" s="366"/>
      <c r="D426" s="374"/>
      <c r="E426" s="556"/>
      <c r="F426" s="557"/>
      <c r="G426" s="565">
        <v>73340400</v>
      </c>
      <c r="H426" s="375"/>
    </row>
    <row r="427" spans="1:8" ht="15">
      <c r="A427" s="310">
        <v>20</v>
      </c>
      <c r="B427" s="401" t="s">
        <v>163</v>
      </c>
      <c r="C427" s="553"/>
      <c r="D427" s="554"/>
      <c r="E427" s="555"/>
      <c r="F427" s="553"/>
      <c r="G427" s="555">
        <v>11966066</v>
      </c>
      <c r="H427" s="556"/>
    </row>
    <row r="428" spans="1:8" ht="15">
      <c r="A428" s="310">
        <v>21</v>
      </c>
      <c r="B428" s="401" t="s">
        <v>81</v>
      </c>
      <c r="C428" s="366"/>
      <c r="D428" s="374"/>
      <c r="E428" s="375"/>
      <c r="F428" s="366"/>
      <c r="G428" s="375">
        <v>213884000</v>
      </c>
      <c r="H428" s="375"/>
    </row>
    <row r="429" spans="1:8" ht="15">
      <c r="A429" s="310">
        <v>22</v>
      </c>
      <c r="B429" s="401" t="s">
        <v>167</v>
      </c>
      <c r="C429" s="366"/>
      <c r="D429" s="374"/>
      <c r="E429" s="375"/>
      <c r="F429" s="366"/>
      <c r="G429" s="375"/>
      <c r="H429" s="375"/>
    </row>
    <row r="430" spans="1:8" ht="15">
      <c r="A430" s="310">
        <v>23</v>
      </c>
      <c r="B430" s="401" t="s">
        <v>83</v>
      </c>
      <c r="C430" s="366"/>
      <c r="D430" s="374"/>
      <c r="E430" s="375"/>
      <c r="F430" s="366"/>
      <c r="G430" s="375">
        <v>8916615</v>
      </c>
      <c r="H430" s="375"/>
    </row>
    <row r="431" spans="1:8" ht="15">
      <c r="A431" s="310">
        <v>24</v>
      </c>
      <c r="B431" s="401" t="s">
        <v>84</v>
      </c>
      <c r="C431" s="366"/>
      <c r="D431" s="366"/>
      <c r="E431" s="375"/>
      <c r="F431" s="366"/>
      <c r="G431" s="556">
        <v>20009000</v>
      </c>
      <c r="H431" s="375"/>
    </row>
    <row r="432" spans="1:8" ht="15">
      <c r="A432" s="310">
        <v>25</v>
      </c>
      <c r="B432" s="401" t="s">
        <v>86</v>
      </c>
      <c r="C432" s="366"/>
      <c r="D432" s="374"/>
      <c r="E432" s="375"/>
      <c r="F432" s="366"/>
      <c r="G432" s="375">
        <v>14254000</v>
      </c>
      <c r="H432" s="375"/>
    </row>
    <row r="433" spans="1:8" ht="15">
      <c r="A433" s="310">
        <v>26</v>
      </c>
      <c r="B433" s="401" t="s">
        <v>88</v>
      </c>
      <c r="C433" s="366"/>
      <c r="D433" s="366"/>
      <c r="E433" s="375"/>
      <c r="F433" s="375"/>
      <c r="G433" s="375">
        <v>335580</v>
      </c>
      <c r="H433" s="366"/>
    </row>
    <row r="434" spans="1:8" ht="15">
      <c r="A434" s="310">
        <v>27</v>
      </c>
      <c r="B434" s="400" t="s">
        <v>264</v>
      </c>
      <c r="C434" s="366"/>
      <c r="D434" s="366"/>
      <c r="E434" s="375"/>
      <c r="F434" s="366"/>
      <c r="G434" s="375">
        <v>2042000</v>
      </c>
      <c r="H434" s="375"/>
    </row>
    <row r="435" spans="1:8" ht="15">
      <c r="A435" s="310">
        <v>28</v>
      </c>
      <c r="B435" s="401" t="s">
        <v>89</v>
      </c>
      <c r="C435" s="366"/>
      <c r="D435" s="374"/>
      <c r="E435" s="375"/>
      <c r="F435" s="366"/>
      <c r="G435" s="375">
        <v>35724000</v>
      </c>
      <c r="H435" s="375"/>
    </row>
    <row r="436" spans="1:8" ht="15">
      <c r="A436" s="310">
        <v>29</v>
      </c>
      <c r="B436" s="401" t="s">
        <v>90</v>
      </c>
      <c r="C436" s="366"/>
      <c r="D436" s="374"/>
      <c r="E436" s="375"/>
      <c r="F436" s="366"/>
      <c r="G436" s="375">
        <v>10458000</v>
      </c>
      <c r="H436" s="375"/>
    </row>
    <row r="437" spans="1:8" ht="15">
      <c r="A437" s="310">
        <v>30</v>
      </c>
      <c r="B437" s="401" t="s">
        <v>93</v>
      </c>
      <c r="C437" s="366"/>
      <c r="D437" s="374"/>
      <c r="E437" s="375"/>
      <c r="F437" s="366"/>
      <c r="G437" s="375">
        <v>6564000</v>
      </c>
      <c r="H437" s="375"/>
    </row>
    <row r="438" spans="1:8" ht="15">
      <c r="A438" s="310">
        <v>31</v>
      </c>
      <c r="B438" s="401" t="s">
        <v>94</v>
      </c>
      <c r="C438" s="366"/>
      <c r="D438" s="374"/>
      <c r="E438" s="375"/>
      <c r="F438" s="366"/>
      <c r="G438" s="375">
        <v>330575</v>
      </c>
      <c r="H438" s="375"/>
    </row>
    <row r="439" spans="1:8" ht="15">
      <c r="A439" s="310">
        <v>32</v>
      </c>
      <c r="B439" s="401" t="s">
        <v>95</v>
      </c>
      <c r="C439" s="366"/>
      <c r="D439" s="374"/>
      <c r="E439" s="375"/>
      <c r="F439" s="366"/>
      <c r="G439" s="375">
        <v>2217850</v>
      </c>
      <c r="H439" s="375"/>
    </row>
    <row r="440" spans="1:8" ht="15">
      <c r="A440" s="310">
        <v>33</v>
      </c>
      <c r="B440" s="401" t="s">
        <v>97</v>
      </c>
      <c r="C440" s="366"/>
      <c r="D440" s="374"/>
      <c r="E440" s="375"/>
      <c r="F440" s="366"/>
      <c r="G440" s="564">
        <v>75507000</v>
      </c>
      <c r="H440" s="375"/>
    </row>
    <row r="441" spans="1:8" ht="15">
      <c r="A441" s="310">
        <v>34</v>
      </c>
      <c r="B441" s="401" t="s">
        <v>102</v>
      </c>
      <c r="C441" s="366"/>
      <c r="D441" s="374"/>
      <c r="E441" s="375"/>
      <c r="F441" s="375"/>
      <c r="G441" s="375">
        <v>18548151</v>
      </c>
      <c r="H441" s="366"/>
    </row>
    <row r="442" spans="1:8" ht="15">
      <c r="A442" s="310">
        <v>35</v>
      </c>
      <c r="B442" s="401" t="s">
        <v>182</v>
      </c>
      <c r="C442" s="366"/>
      <c r="D442" s="366"/>
      <c r="E442" s="375"/>
      <c r="F442" s="375"/>
      <c r="G442" s="375"/>
      <c r="H442" s="366"/>
    </row>
    <row r="443" spans="1:8" ht="15">
      <c r="A443" s="310">
        <v>36</v>
      </c>
      <c r="B443" s="401" t="s">
        <v>106</v>
      </c>
      <c r="C443" s="553"/>
      <c r="D443" s="554"/>
      <c r="E443" s="555"/>
      <c r="F443" s="553"/>
      <c r="G443" s="555">
        <v>5658000</v>
      </c>
      <c r="H443" s="375"/>
    </row>
    <row r="444" spans="1:8" ht="15">
      <c r="A444" s="310">
        <v>37</v>
      </c>
      <c r="B444" s="401" t="s">
        <v>105</v>
      </c>
      <c r="C444" s="366"/>
      <c r="D444" s="374"/>
      <c r="E444" s="374"/>
      <c r="F444" s="375"/>
      <c r="G444" s="366">
        <v>50133000</v>
      </c>
      <c r="H444" s="375"/>
    </row>
    <row r="445" spans="1:8" ht="15">
      <c r="A445" s="310">
        <v>38</v>
      </c>
      <c r="B445" s="401" t="s">
        <v>108</v>
      </c>
      <c r="C445" s="366"/>
      <c r="D445" s="374"/>
      <c r="E445" s="374"/>
      <c r="F445" s="375"/>
      <c r="G445" s="366">
        <v>33680050</v>
      </c>
      <c r="H445" s="375"/>
    </row>
    <row r="446" spans="1:8" ht="15">
      <c r="A446" s="747"/>
      <c r="B446" s="748" t="s">
        <v>129</v>
      </c>
      <c r="C446" s="738"/>
      <c r="D446" s="739"/>
      <c r="E446" s="738"/>
      <c r="F446" s="738"/>
      <c r="G446" s="738">
        <f>SUM(G408:G445)</f>
        <v>1046949165</v>
      </c>
      <c r="H446" s="738"/>
    </row>
    <row r="448" spans="1:8" ht="27.75">
      <c r="A448" s="1120" t="s">
        <v>0</v>
      </c>
      <c r="B448" s="1120"/>
      <c r="C448" s="1120"/>
      <c r="D448" s="1120"/>
      <c r="E448" s="1120"/>
      <c r="F448" s="1120"/>
      <c r="G448" s="1120"/>
      <c r="H448" s="1120"/>
    </row>
    <row r="449" spans="1:8" ht="21">
      <c r="A449" s="1117" t="s">
        <v>276</v>
      </c>
      <c r="B449" s="1117"/>
      <c r="C449" s="1117"/>
      <c r="D449" s="1117"/>
      <c r="E449" s="1117"/>
      <c r="F449" s="1117"/>
      <c r="G449" s="1117"/>
      <c r="H449" s="1117"/>
    </row>
    <row r="450" spans="1:8" ht="21">
      <c r="A450" s="1117" t="s">
        <v>379</v>
      </c>
      <c r="B450" s="1117"/>
      <c r="C450" s="1117"/>
      <c r="D450" s="1117"/>
      <c r="E450" s="1117"/>
      <c r="F450" s="1117"/>
      <c r="G450" s="1117"/>
      <c r="H450" s="1117"/>
    </row>
    <row r="451" spans="1:8" ht="24.75">
      <c r="A451" s="454"/>
      <c r="B451" s="454"/>
      <c r="C451" s="454"/>
      <c r="D451" s="454"/>
      <c r="E451" s="454"/>
      <c r="F451" s="454"/>
      <c r="G451" s="454"/>
      <c r="H451" s="454"/>
    </row>
    <row r="452" spans="1:8" ht="15">
      <c r="A452" s="1099" t="s">
        <v>4</v>
      </c>
      <c r="B452" s="1101" t="s">
        <v>5</v>
      </c>
      <c r="C452" s="735" t="s">
        <v>6</v>
      </c>
      <c r="D452" s="735" t="s">
        <v>7</v>
      </c>
      <c r="E452" s="735" t="s">
        <v>8</v>
      </c>
      <c r="F452" s="735" t="s">
        <v>9</v>
      </c>
      <c r="G452" s="735" t="s">
        <v>10</v>
      </c>
      <c r="H452" s="735" t="s">
        <v>11</v>
      </c>
    </row>
    <row r="453" spans="1:8" ht="15">
      <c r="A453" s="1100"/>
      <c r="B453" s="1102"/>
      <c r="C453" s="746" t="s">
        <v>268</v>
      </c>
      <c r="D453" s="746" t="s">
        <v>277</v>
      </c>
      <c r="E453" s="746" t="s">
        <v>13</v>
      </c>
      <c r="F453" s="737" t="s">
        <v>391</v>
      </c>
      <c r="G453" s="737" t="s">
        <v>391</v>
      </c>
      <c r="H453" s="746" t="s">
        <v>15</v>
      </c>
    </row>
    <row r="454" spans="1:8" ht="15">
      <c r="A454" s="403">
        <v>1</v>
      </c>
      <c r="B454" s="310" t="s">
        <v>141</v>
      </c>
      <c r="C454" s="310">
        <f aca="true" t="shared" si="22" ref="C454:H454">C10</f>
        <v>32</v>
      </c>
      <c r="D454" s="409">
        <f t="shared" si="22"/>
        <v>119.67</v>
      </c>
      <c r="E454" s="313">
        <f t="shared" si="22"/>
        <v>180526</v>
      </c>
      <c r="F454" s="310">
        <f t="shared" si="22"/>
        <v>179028840</v>
      </c>
      <c r="G454" s="313">
        <f t="shared" si="22"/>
        <v>16454170</v>
      </c>
      <c r="H454" s="313">
        <f t="shared" si="22"/>
        <v>424</v>
      </c>
    </row>
    <row r="455" spans="1:8" ht="15">
      <c r="A455" s="403">
        <v>2</v>
      </c>
      <c r="B455" s="310" t="s">
        <v>135</v>
      </c>
      <c r="C455" s="310">
        <f aca="true" t="shared" si="23" ref="C455:H455">C35</f>
        <v>19</v>
      </c>
      <c r="D455" s="409">
        <f t="shared" si="23"/>
        <v>15.5</v>
      </c>
      <c r="E455" s="313">
        <f t="shared" si="23"/>
        <v>20882043.5</v>
      </c>
      <c r="F455" s="313">
        <f t="shared" si="23"/>
        <v>14214462845</v>
      </c>
      <c r="G455" s="313">
        <f t="shared" si="23"/>
        <v>417379273</v>
      </c>
      <c r="H455" s="310">
        <f t="shared" si="23"/>
        <v>28395</v>
      </c>
    </row>
    <row r="456" spans="1:8" ht="15">
      <c r="A456" s="403">
        <v>3</v>
      </c>
      <c r="B456" s="310" t="s">
        <v>136</v>
      </c>
      <c r="C456" s="310">
        <f aca="true" t="shared" si="24" ref="C456:H456">C42</f>
        <v>3</v>
      </c>
      <c r="D456" s="409">
        <f t="shared" si="24"/>
        <v>2.71</v>
      </c>
      <c r="E456" s="313">
        <f t="shared" si="24"/>
        <v>1267</v>
      </c>
      <c r="F456" s="313">
        <f t="shared" si="24"/>
        <v>278430</v>
      </c>
      <c r="G456" s="313">
        <f t="shared" si="24"/>
        <v>113427</v>
      </c>
      <c r="H456" s="310">
        <f t="shared" si="24"/>
        <v>24</v>
      </c>
    </row>
    <row r="457" spans="1:8" ht="15">
      <c r="A457" s="403">
        <v>4</v>
      </c>
      <c r="B457" s="310" t="s">
        <v>170</v>
      </c>
      <c r="C457" s="310">
        <f aca="true" t="shared" si="25" ref="C457:H457">C50</f>
        <v>40</v>
      </c>
      <c r="D457" s="409">
        <f t="shared" si="25"/>
        <v>26.319</v>
      </c>
      <c r="E457" s="313">
        <f t="shared" si="25"/>
        <v>906051</v>
      </c>
      <c r="F457" s="310">
        <f t="shared" si="25"/>
        <v>271472350</v>
      </c>
      <c r="G457" s="313">
        <f t="shared" si="25"/>
        <v>4756349</v>
      </c>
      <c r="H457" s="313">
        <f t="shared" si="25"/>
        <v>296</v>
      </c>
    </row>
    <row r="458" spans="1:8" ht="15">
      <c r="A458" s="403">
        <v>5</v>
      </c>
      <c r="B458" s="310" t="s">
        <v>168</v>
      </c>
      <c r="C458" s="310">
        <f aca="true" t="shared" si="26" ref="C458:H458">C63</f>
        <v>27</v>
      </c>
      <c r="D458" s="409">
        <f t="shared" si="26"/>
        <v>221.91</v>
      </c>
      <c r="E458" s="313">
        <f t="shared" si="26"/>
        <v>47394</v>
      </c>
      <c r="F458" s="310">
        <f t="shared" si="26"/>
        <v>48711240</v>
      </c>
      <c r="G458" s="313">
        <f t="shared" si="26"/>
        <v>2554446</v>
      </c>
      <c r="H458" s="313">
        <f t="shared" si="26"/>
        <v>1880</v>
      </c>
    </row>
    <row r="459" spans="1:8" ht="15">
      <c r="A459" s="403">
        <v>6</v>
      </c>
      <c r="B459" s="310" t="s">
        <v>122</v>
      </c>
      <c r="C459" s="310">
        <f aca="true" t="shared" si="27" ref="C459:H459">C86</f>
        <v>832</v>
      </c>
      <c r="D459" s="409">
        <f t="shared" si="27"/>
        <v>1851.1541</v>
      </c>
      <c r="E459" s="313">
        <f t="shared" si="27"/>
        <v>2849522</v>
      </c>
      <c r="F459" s="313">
        <f t="shared" si="27"/>
        <v>4373743600</v>
      </c>
      <c r="G459" s="313">
        <f t="shared" si="27"/>
        <v>280484492</v>
      </c>
      <c r="H459" s="313">
        <f t="shared" si="27"/>
        <v>5848</v>
      </c>
    </row>
    <row r="460" spans="1:8" ht="15">
      <c r="A460" s="403">
        <v>7</v>
      </c>
      <c r="B460" s="310" t="s">
        <v>146</v>
      </c>
      <c r="C460" s="310">
        <f aca="true" t="shared" si="28" ref="C460:H460">C131</f>
        <v>0</v>
      </c>
      <c r="D460" s="409">
        <f t="shared" si="28"/>
        <v>0</v>
      </c>
      <c r="E460" s="313">
        <f t="shared" si="28"/>
        <v>0</v>
      </c>
      <c r="F460" s="310">
        <f t="shared" si="28"/>
        <v>0</v>
      </c>
      <c r="G460" s="313">
        <f t="shared" si="28"/>
        <v>0</v>
      </c>
      <c r="H460" s="313">
        <f t="shared" si="28"/>
        <v>0</v>
      </c>
    </row>
    <row r="461" spans="1:8" ht="15">
      <c r="A461" s="403">
        <v>8</v>
      </c>
      <c r="B461" s="310" t="s">
        <v>123</v>
      </c>
      <c r="C461" s="313">
        <f aca="true" t="shared" si="29" ref="C461:H461">C125</f>
        <v>75</v>
      </c>
      <c r="D461" s="409">
        <f t="shared" si="29"/>
        <v>213.9491</v>
      </c>
      <c r="E461" s="313">
        <f t="shared" si="29"/>
        <v>146073830</v>
      </c>
      <c r="F461" s="313">
        <f t="shared" si="29"/>
        <v>12558623585</v>
      </c>
      <c r="G461" s="313">
        <f t="shared" si="29"/>
        <v>1733557041</v>
      </c>
      <c r="H461" s="313">
        <f t="shared" si="29"/>
        <v>30460</v>
      </c>
    </row>
    <row r="462" spans="1:8" ht="15">
      <c r="A462" s="403">
        <v>9</v>
      </c>
      <c r="B462" s="310" t="s">
        <v>137</v>
      </c>
      <c r="C462" s="313">
        <f aca="true" t="shared" si="30" ref="C462:H462">C157</f>
        <v>444</v>
      </c>
      <c r="D462" s="409">
        <f t="shared" si="30"/>
        <v>11874.202899999997</v>
      </c>
      <c r="E462" s="313">
        <f t="shared" si="30"/>
        <v>6277252.46</v>
      </c>
      <c r="F462" s="313">
        <f t="shared" si="30"/>
        <v>1162486350</v>
      </c>
      <c r="G462" s="313">
        <f t="shared" si="30"/>
        <v>434691984</v>
      </c>
      <c r="H462" s="313">
        <f t="shared" si="30"/>
        <v>4756</v>
      </c>
    </row>
    <row r="463" spans="1:8" ht="15">
      <c r="A463" s="403">
        <v>10</v>
      </c>
      <c r="B463" s="310" t="s">
        <v>165</v>
      </c>
      <c r="C463" s="313">
        <f aca="true" t="shared" si="31" ref="C463:H463">C169</f>
        <v>590</v>
      </c>
      <c r="D463" s="313">
        <f t="shared" si="31"/>
        <v>2293.9</v>
      </c>
      <c r="E463" s="313">
        <f t="shared" si="31"/>
        <v>5237300</v>
      </c>
      <c r="F463" s="313">
        <f t="shared" si="31"/>
        <v>6327226130</v>
      </c>
      <c r="G463" s="313">
        <f t="shared" si="31"/>
        <v>609199523</v>
      </c>
      <c r="H463" s="313">
        <f t="shared" si="31"/>
        <v>9216</v>
      </c>
    </row>
    <row r="464" spans="1:8" ht="15">
      <c r="A464" s="403">
        <v>11</v>
      </c>
      <c r="B464" s="310" t="s">
        <v>124</v>
      </c>
      <c r="C464" s="366">
        <f aca="true" t="shared" si="32" ref="C464:H464">C198</f>
        <v>1943</v>
      </c>
      <c r="D464" s="374">
        <f t="shared" si="32"/>
        <v>3842.8663</v>
      </c>
      <c r="E464" s="375">
        <f t="shared" si="32"/>
        <v>13876887</v>
      </c>
      <c r="F464" s="366">
        <f t="shared" si="32"/>
        <v>17115872617</v>
      </c>
      <c r="G464" s="375">
        <f t="shared" si="32"/>
        <v>2546289553</v>
      </c>
      <c r="H464" s="313">
        <f t="shared" si="32"/>
        <v>33649</v>
      </c>
    </row>
    <row r="465" spans="1:8" ht="15">
      <c r="A465" s="403">
        <v>12</v>
      </c>
      <c r="B465" s="310" t="s">
        <v>125</v>
      </c>
      <c r="C465" s="310">
        <f aca="true" t="shared" si="33" ref="C465:H465">C242</f>
        <v>5691</v>
      </c>
      <c r="D465" s="409">
        <f t="shared" si="33"/>
        <v>6045.5647</v>
      </c>
      <c r="E465" s="313">
        <f t="shared" si="33"/>
        <v>70251003.28</v>
      </c>
      <c r="F465" s="313">
        <f t="shared" si="33"/>
        <v>8409053596</v>
      </c>
      <c r="G465" s="313">
        <f t="shared" si="33"/>
        <v>2003621740</v>
      </c>
      <c r="H465" s="310">
        <f t="shared" si="33"/>
        <v>57589</v>
      </c>
    </row>
    <row r="466" spans="1:8" ht="15">
      <c r="A466" s="403">
        <v>13</v>
      </c>
      <c r="B466" s="310" t="s">
        <v>149</v>
      </c>
      <c r="C466" s="310">
        <f aca="true" t="shared" si="34" ref="C466:H466">C249</f>
        <v>5</v>
      </c>
      <c r="D466" s="409">
        <f t="shared" si="34"/>
        <v>88.5764</v>
      </c>
      <c r="E466" s="313">
        <f t="shared" si="34"/>
        <v>1388.08</v>
      </c>
      <c r="F466" s="310">
        <f t="shared" si="34"/>
        <v>408892</v>
      </c>
      <c r="G466" s="313">
        <f t="shared" si="34"/>
        <v>159820</v>
      </c>
      <c r="H466" s="313">
        <f t="shared" si="34"/>
        <v>42</v>
      </c>
    </row>
    <row r="467" spans="1:8" ht="15">
      <c r="A467" s="403">
        <v>14</v>
      </c>
      <c r="B467" s="310" t="s">
        <v>145</v>
      </c>
      <c r="C467" s="310">
        <f aca="true" t="shared" si="35" ref="C467:H467">C259</f>
        <v>0</v>
      </c>
      <c r="D467" s="310">
        <f t="shared" si="35"/>
        <v>0</v>
      </c>
      <c r="E467" s="310">
        <f t="shared" si="35"/>
        <v>5209000</v>
      </c>
      <c r="F467" s="310">
        <f t="shared" si="35"/>
        <v>323958950</v>
      </c>
      <c r="G467" s="310">
        <f t="shared" si="35"/>
        <v>13220961</v>
      </c>
      <c r="H467" s="310">
        <f t="shared" si="35"/>
        <v>410</v>
      </c>
    </row>
    <row r="468" spans="1:8" ht="15">
      <c r="A468" s="403">
        <v>15</v>
      </c>
      <c r="B468" s="409" t="s">
        <v>265</v>
      </c>
      <c r="C468" s="310">
        <f aca="true" t="shared" si="36" ref="C468:H468">C277</f>
        <v>0</v>
      </c>
      <c r="D468" s="409">
        <f t="shared" si="36"/>
        <v>0</v>
      </c>
      <c r="E468" s="313">
        <f t="shared" si="36"/>
        <v>4393208</v>
      </c>
      <c r="F468" s="310">
        <f t="shared" si="36"/>
        <v>358539508</v>
      </c>
      <c r="G468" s="313">
        <f t="shared" si="36"/>
        <v>34071438</v>
      </c>
      <c r="H468" s="313">
        <f t="shared" si="36"/>
        <v>4170</v>
      </c>
    </row>
    <row r="469" spans="1:8" ht="15">
      <c r="A469" s="403">
        <v>16</v>
      </c>
      <c r="B469" s="409" t="s">
        <v>183</v>
      </c>
      <c r="C469" s="310">
        <f aca="true" t="shared" si="37" ref="C469:H469">C293</f>
        <v>74</v>
      </c>
      <c r="D469" s="409">
        <f t="shared" si="37"/>
        <v>125.20750000000001</v>
      </c>
      <c r="E469" s="313">
        <f t="shared" si="37"/>
        <v>222784</v>
      </c>
      <c r="F469" s="313">
        <f t="shared" si="37"/>
        <v>72724450</v>
      </c>
      <c r="G469" s="313">
        <f t="shared" si="37"/>
        <v>8788708</v>
      </c>
      <c r="H469" s="310">
        <f t="shared" si="37"/>
        <v>288</v>
      </c>
    </row>
    <row r="470" spans="1:8" ht="15">
      <c r="A470" s="403">
        <v>17</v>
      </c>
      <c r="B470" s="310" t="s">
        <v>131</v>
      </c>
      <c r="C470" s="313">
        <f aca="true" t="shared" si="38" ref="C470:H470">C301</f>
        <v>44</v>
      </c>
      <c r="D470" s="409">
        <f t="shared" si="38"/>
        <v>44.08</v>
      </c>
      <c r="E470" s="313">
        <f t="shared" si="38"/>
        <v>11984</v>
      </c>
      <c r="F470" s="313">
        <f t="shared" si="38"/>
        <v>2696400</v>
      </c>
      <c r="G470" s="313">
        <f t="shared" si="38"/>
        <v>1756000</v>
      </c>
      <c r="H470" s="313">
        <f t="shared" si="38"/>
        <v>17</v>
      </c>
    </row>
    <row r="471" spans="1:8" ht="15">
      <c r="A471" s="403">
        <v>18</v>
      </c>
      <c r="B471" s="409" t="s">
        <v>166</v>
      </c>
      <c r="C471" s="310">
        <f aca="true" t="shared" si="39" ref="C471:H471">C309</f>
        <v>217</v>
      </c>
      <c r="D471" s="409">
        <f t="shared" si="39"/>
        <v>223.35</v>
      </c>
      <c r="E471" s="313">
        <f t="shared" si="39"/>
        <v>1098419</v>
      </c>
      <c r="F471" s="310">
        <f t="shared" si="39"/>
        <v>88595325</v>
      </c>
      <c r="G471" s="313">
        <f t="shared" si="39"/>
        <v>19714000</v>
      </c>
      <c r="H471" s="313">
        <f t="shared" si="39"/>
        <v>898</v>
      </c>
    </row>
    <row r="472" spans="1:8" ht="15">
      <c r="A472" s="403">
        <v>19</v>
      </c>
      <c r="B472" s="310" t="s">
        <v>184</v>
      </c>
      <c r="C472" s="310">
        <f aca="true" t="shared" si="40" ref="C472:H472">C315</f>
        <v>1</v>
      </c>
      <c r="D472" s="409">
        <f t="shared" si="40"/>
        <v>0</v>
      </c>
      <c r="E472" s="313">
        <f t="shared" si="40"/>
        <v>195</v>
      </c>
      <c r="F472" s="310">
        <f t="shared" si="40"/>
        <v>2925000</v>
      </c>
      <c r="G472" s="313">
        <f t="shared" si="40"/>
        <v>131000</v>
      </c>
      <c r="H472" s="313">
        <f t="shared" si="40"/>
        <v>15</v>
      </c>
    </row>
    <row r="473" spans="1:8" ht="15">
      <c r="A473" s="403">
        <v>20</v>
      </c>
      <c r="B473" s="310" t="s">
        <v>140</v>
      </c>
      <c r="C473" s="310">
        <f aca="true" t="shared" si="41" ref="C473:H473">C336</f>
        <v>1280</v>
      </c>
      <c r="D473" s="409">
        <f t="shared" si="41"/>
        <v>12408.4228</v>
      </c>
      <c r="E473" s="313">
        <f t="shared" si="41"/>
        <v>13179857.43</v>
      </c>
      <c r="F473" s="310">
        <f t="shared" si="41"/>
        <v>7387507958</v>
      </c>
      <c r="G473" s="313">
        <f t="shared" si="41"/>
        <v>1352469385</v>
      </c>
      <c r="H473" s="313">
        <f t="shared" si="41"/>
        <v>76573</v>
      </c>
    </row>
    <row r="474" spans="1:8" ht="15">
      <c r="A474" s="403">
        <v>21</v>
      </c>
      <c r="B474" s="310" t="s">
        <v>162</v>
      </c>
      <c r="C474" s="310">
        <f aca="true" t="shared" si="42" ref="C474:H474">C344</f>
        <v>288</v>
      </c>
      <c r="D474" s="409">
        <f t="shared" si="42"/>
        <v>325.96</v>
      </c>
      <c r="E474" s="313">
        <f t="shared" si="42"/>
        <v>1507422</v>
      </c>
      <c r="F474" s="310">
        <f t="shared" si="42"/>
        <v>2239466653</v>
      </c>
      <c r="G474" s="313">
        <f t="shared" si="42"/>
        <v>293947558</v>
      </c>
      <c r="H474" s="313">
        <f t="shared" si="42"/>
        <v>2450</v>
      </c>
    </row>
    <row r="475" spans="1:8" ht="15">
      <c r="A475" s="403">
        <v>22</v>
      </c>
      <c r="B475" s="310" t="s">
        <v>127</v>
      </c>
      <c r="C475" s="310">
        <f aca="true" t="shared" si="43" ref="C475:H475">C353</f>
        <v>19</v>
      </c>
      <c r="D475" s="409">
        <f t="shared" si="43"/>
        <v>37.74</v>
      </c>
      <c r="E475" s="313">
        <f t="shared" si="43"/>
        <v>20245</v>
      </c>
      <c r="F475" s="310">
        <f t="shared" si="43"/>
        <v>4161500</v>
      </c>
      <c r="G475" s="313">
        <f t="shared" si="43"/>
        <v>1762530</v>
      </c>
      <c r="H475" s="313">
        <f t="shared" si="43"/>
        <v>109</v>
      </c>
    </row>
    <row r="476" spans="1:8" ht="15">
      <c r="A476" s="403">
        <v>23</v>
      </c>
      <c r="B476" s="310" t="s">
        <v>160</v>
      </c>
      <c r="C476" s="310">
        <f aca="true" t="shared" si="44" ref="C476:H476">C360</f>
        <v>134</v>
      </c>
      <c r="D476" s="409">
        <f t="shared" si="44"/>
        <v>102.74</v>
      </c>
      <c r="E476" s="313">
        <f t="shared" si="44"/>
        <v>4259922</v>
      </c>
      <c r="F476" s="310">
        <f t="shared" si="44"/>
        <v>429996920</v>
      </c>
      <c r="G476" s="313">
        <f t="shared" si="44"/>
        <v>73835148</v>
      </c>
      <c r="H476" s="313">
        <f t="shared" si="44"/>
        <v>950</v>
      </c>
    </row>
    <row r="477" spans="1:8" ht="15">
      <c r="A477" s="745"/>
      <c r="B477" s="310" t="s">
        <v>128</v>
      </c>
      <c r="C477" s="310">
        <f aca="true" t="shared" si="45" ref="C477:H477">C403</f>
        <v>0</v>
      </c>
      <c r="D477" s="409">
        <f t="shared" si="45"/>
        <v>0</v>
      </c>
      <c r="E477" s="313">
        <f t="shared" si="45"/>
        <v>0</v>
      </c>
      <c r="F477" s="313">
        <f t="shared" si="45"/>
        <v>0</v>
      </c>
      <c r="G477" s="313">
        <f t="shared" si="45"/>
        <v>614087795</v>
      </c>
      <c r="H477" s="313">
        <f t="shared" si="45"/>
        <v>0</v>
      </c>
    </row>
    <row r="478" spans="1:8" ht="15">
      <c r="A478" s="745"/>
      <c r="B478" s="310" t="s">
        <v>41</v>
      </c>
      <c r="C478" s="313">
        <f aca="true" t="shared" si="46" ref="C478:H478">C446</f>
        <v>0</v>
      </c>
      <c r="D478" s="313">
        <f t="shared" si="46"/>
        <v>0</v>
      </c>
      <c r="E478" s="313">
        <f t="shared" si="46"/>
        <v>0</v>
      </c>
      <c r="F478" s="313">
        <f t="shared" si="46"/>
        <v>0</v>
      </c>
      <c r="G478" s="313">
        <f t="shared" si="46"/>
        <v>1046949165</v>
      </c>
      <c r="H478" s="313">
        <f t="shared" si="46"/>
        <v>0</v>
      </c>
    </row>
    <row r="479" spans="1:8" ht="19.5">
      <c r="A479" s="741"/>
      <c r="B479" s="742" t="s">
        <v>129</v>
      </c>
      <c r="C479" s="712">
        <f aca="true" t="shared" si="47" ref="C479:H479">SUM(C454:C478)</f>
        <v>11758</v>
      </c>
      <c r="D479" s="743">
        <f t="shared" si="47"/>
        <v>39863.822799999994</v>
      </c>
      <c r="E479" s="744">
        <f t="shared" si="47"/>
        <v>296487500.75000006</v>
      </c>
      <c r="F479" s="712">
        <f t="shared" si="47"/>
        <v>75571941139</v>
      </c>
      <c r="G479" s="744">
        <f t="shared" si="47"/>
        <v>11509995506</v>
      </c>
      <c r="H479" s="744">
        <f t="shared" si="47"/>
        <v>258459</v>
      </c>
    </row>
    <row r="481" spans="3:8" ht="15">
      <c r="C481" s="172"/>
      <c r="D481" s="172"/>
      <c r="E481" s="172"/>
      <c r="F481" s="172"/>
      <c r="G481" s="172"/>
      <c r="H481" s="172"/>
    </row>
    <row r="487" ht="15">
      <c r="F487" t="s">
        <v>280</v>
      </c>
    </row>
  </sheetData>
  <sheetProtection password="86A8" sheet="1"/>
  <mergeCells count="80">
    <mergeCell ref="A10:B10"/>
    <mergeCell ref="A13:A14"/>
    <mergeCell ref="A1:H1"/>
    <mergeCell ref="A2:H2"/>
    <mergeCell ref="A3:H3"/>
    <mergeCell ref="A6:A7"/>
    <mergeCell ref="B6:B7"/>
    <mergeCell ref="A50:B50"/>
    <mergeCell ref="A53:A54"/>
    <mergeCell ref="B53:B54"/>
    <mergeCell ref="A42:B42"/>
    <mergeCell ref="A45:A46"/>
    <mergeCell ref="B45:B46"/>
    <mergeCell ref="A262:A263"/>
    <mergeCell ref="A63:B63"/>
    <mergeCell ref="A67:A68"/>
    <mergeCell ref="B67:B68"/>
    <mergeCell ref="A157:B157"/>
    <mergeCell ref="A160:A161"/>
    <mergeCell ref="B160:B161"/>
    <mergeCell ref="A169:B169"/>
    <mergeCell ref="A301:B301"/>
    <mergeCell ref="A280:A281"/>
    <mergeCell ref="B280:B281"/>
    <mergeCell ref="A198:B198"/>
    <mergeCell ref="A201:A202"/>
    <mergeCell ref="B201:B202"/>
    <mergeCell ref="A242:B242"/>
    <mergeCell ref="A245:A246"/>
    <mergeCell ref="B245:B246"/>
    <mergeCell ref="A249:B249"/>
    <mergeCell ref="B304:B305"/>
    <mergeCell ref="B13:B14"/>
    <mergeCell ref="A35:B35"/>
    <mergeCell ref="A38:A39"/>
    <mergeCell ref="B38:B39"/>
    <mergeCell ref="A89:A90"/>
    <mergeCell ref="B262:B263"/>
    <mergeCell ref="A252:A253"/>
    <mergeCell ref="B252:B253"/>
    <mergeCell ref="A259:B259"/>
    <mergeCell ref="B319:B320"/>
    <mergeCell ref="A172:A173"/>
    <mergeCell ref="B172:B173"/>
    <mergeCell ref="A315:B315"/>
    <mergeCell ref="A319:A320"/>
    <mergeCell ref="A293:B293"/>
    <mergeCell ref="A309:B309"/>
    <mergeCell ref="A312:A313"/>
    <mergeCell ref="B312:B313"/>
    <mergeCell ref="A304:A305"/>
    <mergeCell ref="A296:A297"/>
    <mergeCell ref="B296:B297"/>
    <mergeCell ref="B89:B90"/>
    <mergeCell ref="A86:B86"/>
    <mergeCell ref="B134:B135"/>
    <mergeCell ref="A128:A129"/>
    <mergeCell ref="B128:B129"/>
    <mergeCell ref="A131:B131"/>
    <mergeCell ref="A134:A135"/>
    <mergeCell ref="A277:B277"/>
    <mergeCell ref="A336:B336"/>
    <mergeCell ref="A339:A340"/>
    <mergeCell ref="B339:B340"/>
    <mergeCell ref="A344:B344"/>
    <mergeCell ref="A406:A407"/>
    <mergeCell ref="A347:A348"/>
    <mergeCell ref="B347:B348"/>
    <mergeCell ref="A363:A364"/>
    <mergeCell ref="B363:B364"/>
    <mergeCell ref="A450:H450"/>
    <mergeCell ref="A452:A453"/>
    <mergeCell ref="B452:B453"/>
    <mergeCell ref="A353:B353"/>
    <mergeCell ref="A356:A357"/>
    <mergeCell ref="B356:B357"/>
    <mergeCell ref="A360:B360"/>
    <mergeCell ref="A448:H448"/>
    <mergeCell ref="A449:H449"/>
    <mergeCell ref="B406:B407"/>
  </mergeCells>
  <printOptions/>
  <pageMargins left="0.7" right="0.7" top="0.75" bottom="0.75" header="0.3" footer="0.3"/>
  <pageSetup horizontalDpi="600" verticalDpi="600" orientation="portrait" paperSize="9" scale="73" r:id="rId1"/>
  <rowBreaks count="9" manualBreakCount="9">
    <brk id="51" max="7" man="1"/>
    <brk id="86" max="7" man="1"/>
    <brk id="131" max="255" man="1"/>
    <brk id="198" max="255" man="1"/>
    <brk id="260" max="255" man="1"/>
    <brk id="316" max="255" man="1"/>
    <brk id="361" max="7" man="1"/>
    <brk id="403" max="255" man="1"/>
    <brk id="44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34"/>
  <sheetViews>
    <sheetView zoomScaleSheetLayoutView="100" zoomScalePageLayoutView="0" workbookViewId="0" topLeftCell="K1">
      <selection activeCell="U389" sqref="U389"/>
    </sheetView>
  </sheetViews>
  <sheetFormatPr defaultColWidth="9.140625" defaultRowHeight="15"/>
  <cols>
    <col min="1" max="1" width="0" style="954" hidden="1" customWidth="1"/>
    <col min="2" max="2" width="0" style="1034" hidden="1" customWidth="1"/>
    <col min="3" max="3" width="0" style="1035" hidden="1" customWidth="1"/>
    <col min="4" max="4" width="0" style="1036" hidden="1" customWidth="1"/>
    <col min="5" max="7" width="0" style="794" hidden="1" customWidth="1"/>
    <col min="8" max="8" width="0" style="1037" hidden="1" customWidth="1"/>
    <col min="9" max="10" width="0" style="791" hidden="1" customWidth="1"/>
    <col min="11" max="11" width="3.7109375" style="954" customWidth="1"/>
    <col min="12" max="12" width="24.57421875" style="1034" customWidth="1"/>
    <col min="13" max="13" width="8.28125" style="1035" customWidth="1"/>
    <col min="14" max="14" width="14.421875" style="1036" customWidth="1"/>
    <col min="15" max="15" width="12.8515625" style="794" customWidth="1"/>
    <col min="16" max="16" width="18.140625" style="794" customWidth="1"/>
    <col min="17" max="17" width="17.57421875" style="794" customWidth="1"/>
    <col min="18" max="18" width="12.7109375" style="1037" bestFit="1" customWidth="1"/>
    <col min="19" max="19" width="12.7109375" style="791" customWidth="1"/>
    <col min="20" max="20" width="18.7109375" style="791" customWidth="1"/>
    <col min="21" max="16384" width="9.140625" style="791" customWidth="1"/>
  </cols>
  <sheetData>
    <row r="1" spans="1:18" ht="27.75">
      <c r="A1" s="1140" t="s">
        <v>0</v>
      </c>
      <c r="B1" s="1140"/>
      <c r="C1" s="1140"/>
      <c r="D1" s="1140"/>
      <c r="E1" s="1140"/>
      <c r="F1" s="1140"/>
      <c r="G1" s="1140"/>
      <c r="H1" s="1140"/>
      <c r="K1" s="1140" t="s">
        <v>0</v>
      </c>
      <c r="L1" s="1140"/>
      <c r="M1" s="1140"/>
      <c r="N1" s="1140"/>
      <c r="O1" s="1140"/>
      <c r="P1" s="1140"/>
      <c r="Q1" s="1140"/>
      <c r="R1" s="1140"/>
    </row>
    <row r="2" spans="1:18" ht="24.75" customHeight="1">
      <c r="A2" s="1139" t="s">
        <v>1</v>
      </c>
      <c r="B2" s="1139"/>
      <c r="C2" s="1139"/>
      <c r="D2" s="1139"/>
      <c r="E2" s="1139"/>
      <c r="F2" s="1139"/>
      <c r="G2" s="1139"/>
      <c r="H2" s="1139"/>
      <c r="K2" s="1139" t="s">
        <v>392</v>
      </c>
      <c r="L2" s="1139"/>
      <c r="M2" s="1139"/>
      <c r="N2" s="1139"/>
      <c r="O2" s="1139"/>
      <c r="P2" s="1139"/>
      <c r="Q2" s="1139"/>
      <c r="R2" s="1139"/>
    </row>
    <row r="3" spans="1:18" ht="18" customHeight="1">
      <c r="A3" s="1139" t="s">
        <v>2</v>
      </c>
      <c r="B3" s="1139"/>
      <c r="C3" s="1139"/>
      <c r="D3" s="1139"/>
      <c r="E3" s="1139"/>
      <c r="F3" s="1139"/>
      <c r="G3" s="1139"/>
      <c r="H3" s="1139"/>
      <c r="K3" s="1139" t="s">
        <v>382</v>
      </c>
      <c r="L3" s="1139"/>
      <c r="M3" s="1139"/>
      <c r="N3" s="1139"/>
      <c r="O3" s="1139"/>
      <c r="P3" s="1139"/>
      <c r="Q3" s="1139"/>
      <c r="R3" s="1139"/>
    </row>
    <row r="4" spans="1:18" ht="11.25" customHeight="1">
      <c r="A4" s="823"/>
      <c r="B4" s="824"/>
      <c r="C4" s="824"/>
      <c r="D4" s="824"/>
      <c r="E4" s="824"/>
      <c r="F4" s="824"/>
      <c r="G4" s="824"/>
      <c r="H4" s="825"/>
      <c r="K4" s="823"/>
      <c r="L4" s="824"/>
      <c r="M4" s="824"/>
      <c r="N4" s="824"/>
      <c r="O4" s="824"/>
      <c r="P4" s="824"/>
      <c r="Q4" s="824"/>
      <c r="R4" s="825"/>
    </row>
    <row r="5" spans="1:18" ht="15" customHeight="1">
      <c r="A5" s="826"/>
      <c r="B5" s="827"/>
      <c r="C5" s="807"/>
      <c r="D5" s="828" t="s">
        <v>3</v>
      </c>
      <c r="E5" s="809"/>
      <c r="F5" s="809"/>
      <c r="G5" s="809"/>
      <c r="H5" s="829"/>
      <c r="K5" s="826"/>
      <c r="L5" s="827"/>
      <c r="M5" s="807"/>
      <c r="N5" s="828" t="s">
        <v>3</v>
      </c>
      <c r="O5" s="809"/>
      <c r="P5" s="809"/>
      <c r="Q5" s="809"/>
      <c r="R5" s="829"/>
    </row>
    <row r="6" spans="1:18" ht="15" customHeight="1">
      <c r="A6" s="1125" t="s">
        <v>4</v>
      </c>
      <c r="B6" s="830" t="s">
        <v>5</v>
      </c>
      <c r="C6" s="830" t="s">
        <v>6</v>
      </c>
      <c r="D6" s="830" t="s">
        <v>7</v>
      </c>
      <c r="E6" s="830" t="s">
        <v>8</v>
      </c>
      <c r="F6" s="830" t="s">
        <v>9</v>
      </c>
      <c r="G6" s="830" t="s">
        <v>10</v>
      </c>
      <c r="H6" s="830" t="s">
        <v>11</v>
      </c>
      <c r="K6" s="1124" t="s">
        <v>4</v>
      </c>
      <c r="L6" s="831" t="s">
        <v>5</v>
      </c>
      <c r="M6" s="831" t="s">
        <v>6</v>
      </c>
      <c r="N6" s="831" t="s">
        <v>7</v>
      </c>
      <c r="O6" s="831" t="s">
        <v>8</v>
      </c>
      <c r="P6" s="831" t="s">
        <v>9</v>
      </c>
      <c r="Q6" s="831" t="s">
        <v>10</v>
      </c>
      <c r="R6" s="831" t="s">
        <v>11</v>
      </c>
    </row>
    <row r="7" spans="1:18" ht="15" customHeight="1">
      <c r="A7" s="1125"/>
      <c r="B7" s="832"/>
      <c r="C7" s="833"/>
      <c r="D7" s="834" t="s">
        <v>12</v>
      </c>
      <c r="E7" s="834" t="s">
        <v>13</v>
      </c>
      <c r="F7" s="835" t="s">
        <v>14</v>
      </c>
      <c r="G7" s="835" t="s">
        <v>14</v>
      </c>
      <c r="H7" s="834" t="s">
        <v>15</v>
      </c>
      <c r="K7" s="1124"/>
      <c r="L7" s="836"/>
      <c r="M7" s="837"/>
      <c r="N7" s="838" t="s">
        <v>12</v>
      </c>
      <c r="O7" s="838" t="s">
        <v>13</v>
      </c>
      <c r="P7" s="839" t="s">
        <v>391</v>
      </c>
      <c r="Q7" s="839" t="s">
        <v>391</v>
      </c>
      <c r="R7" s="838" t="s">
        <v>15</v>
      </c>
    </row>
    <row r="8" spans="1:18" ht="12.75" customHeight="1" hidden="1">
      <c r="A8" s="840">
        <v>1</v>
      </c>
      <c r="B8" s="841" t="s">
        <v>16</v>
      </c>
      <c r="C8" s="792">
        <v>1</v>
      </c>
      <c r="D8" s="842">
        <v>49.746</v>
      </c>
      <c r="E8" s="775">
        <v>0</v>
      </c>
      <c r="F8" s="775">
        <v>0</v>
      </c>
      <c r="G8" s="775">
        <v>0</v>
      </c>
      <c r="H8" s="772">
        <v>0</v>
      </c>
      <c r="K8" s="840">
        <v>1</v>
      </c>
      <c r="L8" s="841" t="s">
        <v>16</v>
      </c>
      <c r="M8" s="792"/>
      <c r="N8" s="842"/>
      <c r="O8" s="775"/>
      <c r="P8" s="775"/>
      <c r="Q8" s="775"/>
      <c r="R8" s="772"/>
    </row>
    <row r="9" spans="1:18" ht="15" customHeight="1">
      <c r="A9" s="840">
        <v>2</v>
      </c>
      <c r="B9" s="841" t="s">
        <v>17</v>
      </c>
      <c r="C9" s="843">
        <v>314</v>
      </c>
      <c r="D9" s="844">
        <v>1013.58</v>
      </c>
      <c r="E9" s="775">
        <v>20186</v>
      </c>
      <c r="F9" s="775">
        <v>3027900</v>
      </c>
      <c r="G9" s="845">
        <v>11218328</v>
      </c>
      <c r="H9" s="845">
        <f>7*C9</f>
        <v>2198</v>
      </c>
      <c r="K9" s="840">
        <v>1</v>
      </c>
      <c r="L9" s="841" t="s">
        <v>17</v>
      </c>
      <c r="M9" s="843">
        <v>441</v>
      </c>
      <c r="N9" s="844">
        <v>2177.3703</v>
      </c>
      <c r="O9" s="775">
        <v>5059</v>
      </c>
      <c r="P9" s="775">
        <v>1517700</v>
      </c>
      <c r="Q9" s="845">
        <v>33084000</v>
      </c>
      <c r="R9" s="845">
        <v>3087</v>
      </c>
    </row>
    <row r="10" spans="1:18" ht="15" customHeight="1">
      <c r="A10" s="840">
        <v>3</v>
      </c>
      <c r="B10" s="841" t="s">
        <v>18</v>
      </c>
      <c r="C10" s="843"/>
      <c r="D10" s="844"/>
      <c r="E10" s="775">
        <v>134237</v>
      </c>
      <c r="F10" s="775">
        <v>20135550</v>
      </c>
      <c r="G10" s="845"/>
      <c r="H10" s="845"/>
      <c r="K10" s="840">
        <v>2</v>
      </c>
      <c r="L10" s="841" t="s">
        <v>18</v>
      </c>
      <c r="M10" s="843"/>
      <c r="N10" s="844"/>
      <c r="O10" s="775">
        <v>107537</v>
      </c>
      <c r="P10" s="775">
        <v>32261100</v>
      </c>
      <c r="Q10" s="845"/>
      <c r="R10" s="845"/>
    </row>
    <row r="11" spans="1:18" ht="15" customHeight="1">
      <c r="A11" s="846"/>
      <c r="B11" s="847" t="s">
        <v>19</v>
      </c>
      <c r="C11" s="848">
        <f aca="true" t="shared" si="0" ref="C11:H11">SUM(C8:C10)</f>
        <v>315</v>
      </c>
      <c r="D11" s="849">
        <f t="shared" si="0"/>
        <v>1063.326</v>
      </c>
      <c r="E11" s="850">
        <f t="shared" si="0"/>
        <v>154423</v>
      </c>
      <c r="F11" s="850">
        <f t="shared" si="0"/>
        <v>23163450</v>
      </c>
      <c r="G11" s="850">
        <f t="shared" si="0"/>
        <v>11218328</v>
      </c>
      <c r="H11" s="851">
        <f t="shared" si="0"/>
        <v>2198</v>
      </c>
      <c r="K11" s="852"/>
      <c r="L11" s="853" t="s">
        <v>19</v>
      </c>
      <c r="M11" s="854">
        <f aca="true" t="shared" si="1" ref="M11:R11">SUM(M8:M10)</f>
        <v>441</v>
      </c>
      <c r="N11" s="855">
        <f t="shared" si="1"/>
        <v>2177.3703</v>
      </c>
      <c r="O11" s="856">
        <f t="shared" si="1"/>
        <v>112596</v>
      </c>
      <c r="P11" s="856">
        <f t="shared" si="1"/>
        <v>33778800</v>
      </c>
      <c r="Q11" s="856">
        <f t="shared" si="1"/>
        <v>33084000</v>
      </c>
      <c r="R11" s="854">
        <f t="shared" si="1"/>
        <v>3087</v>
      </c>
    </row>
    <row r="12" spans="1:18" ht="15" customHeight="1">
      <c r="A12" s="826"/>
      <c r="B12" s="827"/>
      <c r="C12" s="807"/>
      <c r="D12" s="857"/>
      <c r="E12" s="809"/>
      <c r="F12" s="809"/>
      <c r="G12" s="809"/>
      <c r="H12" s="829"/>
      <c r="K12" s="826"/>
      <c r="L12" s="827"/>
      <c r="M12" s="807"/>
      <c r="N12" s="857"/>
      <c r="O12" s="809"/>
      <c r="P12" s="809"/>
      <c r="Q12" s="809"/>
      <c r="R12" s="829"/>
    </row>
    <row r="13" spans="1:18" ht="15" customHeight="1">
      <c r="A13" s="826"/>
      <c r="B13" s="827"/>
      <c r="C13" s="807"/>
      <c r="D13" s="828" t="s">
        <v>20</v>
      </c>
      <c r="E13" s="809"/>
      <c r="F13" s="809"/>
      <c r="G13" s="809"/>
      <c r="H13" s="829"/>
      <c r="K13" s="826"/>
      <c r="L13" s="827"/>
      <c r="M13" s="807"/>
      <c r="N13" s="828" t="s">
        <v>20</v>
      </c>
      <c r="O13" s="809"/>
      <c r="P13" s="809"/>
      <c r="Q13" s="809"/>
      <c r="R13" s="829"/>
    </row>
    <row r="14" spans="1:18" ht="15" customHeight="1">
      <c r="A14" s="1125" t="s">
        <v>4</v>
      </c>
      <c r="B14" s="830" t="s">
        <v>5</v>
      </c>
      <c r="C14" s="830" t="s">
        <v>6</v>
      </c>
      <c r="D14" s="830" t="s">
        <v>7</v>
      </c>
      <c r="E14" s="830" t="s">
        <v>8</v>
      </c>
      <c r="F14" s="830" t="s">
        <v>9</v>
      </c>
      <c r="G14" s="830" t="s">
        <v>10</v>
      </c>
      <c r="H14" s="830" t="s">
        <v>11</v>
      </c>
      <c r="K14" s="1124" t="s">
        <v>4</v>
      </c>
      <c r="L14" s="831" t="s">
        <v>5</v>
      </c>
      <c r="M14" s="831" t="s">
        <v>6</v>
      </c>
      <c r="N14" s="831" t="s">
        <v>7</v>
      </c>
      <c r="O14" s="831" t="s">
        <v>8</v>
      </c>
      <c r="P14" s="831" t="s">
        <v>9</v>
      </c>
      <c r="Q14" s="831" t="s">
        <v>10</v>
      </c>
      <c r="R14" s="831" t="s">
        <v>11</v>
      </c>
    </row>
    <row r="15" spans="1:18" ht="15" customHeight="1">
      <c r="A15" s="1125"/>
      <c r="B15" s="832"/>
      <c r="C15" s="833"/>
      <c r="D15" s="834" t="s">
        <v>12</v>
      </c>
      <c r="E15" s="834" t="s">
        <v>13</v>
      </c>
      <c r="F15" s="835" t="s">
        <v>14</v>
      </c>
      <c r="G15" s="835" t="s">
        <v>14</v>
      </c>
      <c r="H15" s="834" t="s">
        <v>15</v>
      </c>
      <c r="K15" s="1124"/>
      <c r="L15" s="836"/>
      <c r="M15" s="837"/>
      <c r="N15" s="838" t="s">
        <v>12</v>
      </c>
      <c r="O15" s="838" t="s">
        <v>13</v>
      </c>
      <c r="P15" s="839" t="s">
        <v>391</v>
      </c>
      <c r="Q15" s="839" t="s">
        <v>391</v>
      </c>
      <c r="R15" s="838" t="s">
        <v>15</v>
      </c>
    </row>
    <row r="16" spans="1:18" ht="15" customHeight="1">
      <c r="A16" s="840">
        <v>1</v>
      </c>
      <c r="B16" s="841" t="s">
        <v>21</v>
      </c>
      <c r="C16" s="772">
        <v>256</v>
      </c>
      <c r="D16" s="858">
        <v>1599.36</v>
      </c>
      <c r="E16" s="775">
        <v>150307</v>
      </c>
      <c r="F16" s="775">
        <v>25552190</v>
      </c>
      <c r="G16" s="775">
        <v>10788975</v>
      </c>
      <c r="H16" s="772">
        <v>1750</v>
      </c>
      <c r="K16" s="840">
        <v>1</v>
      </c>
      <c r="L16" s="841" t="s">
        <v>21</v>
      </c>
      <c r="M16" s="792">
        <v>358</v>
      </c>
      <c r="N16" s="859">
        <v>1976.054</v>
      </c>
      <c r="O16" s="860">
        <v>371715</v>
      </c>
      <c r="P16" s="775">
        <v>130100250</v>
      </c>
      <c r="Q16" s="775">
        <v>24660443</v>
      </c>
      <c r="R16" s="772">
        <v>2815</v>
      </c>
    </row>
    <row r="17" spans="1:18" s="861" customFormat="1" ht="15" customHeight="1">
      <c r="A17" s="840">
        <v>2</v>
      </c>
      <c r="B17" s="841" t="s">
        <v>17</v>
      </c>
      <c r="C17" s="772">
        <v>117</v>
      </c>
      <c r="D17" s="858">
        <v>1291.42</v>
      </c>
      <c r="E17" s="775">
        <v>89381</v>
      </c>
      <c r="F17" s="775">
        <v>17876200</v>
      </c>
      <c r="G17" s="775">
        <v>7327780</v>
      </c>
      <c r="H17" s="772">
        <v>980</v>
      </c>
      <c r="K17" s="840">
        <v>2</v>
      </c>
      <c r="L17" s="841" t="s">
        <v>17</v>
      </c>
      <c r="M17" s="792">
        <v>176</v>
      </c>
      <c r="N17" s="859">
        <v>1145.088</v>
      </c>
      <c r="O17" s="860">
        <v>90203</v>
      </c>
      <c r="P17" s="775">
        <v>36081200</v>
      </c>
      <c r="Q17" s="775">
        <v>13278700</v>
      </c>
      <c r="R17" s="772">
        <v>1360</v>
      </c>
    </row>
    <row r="18" spans="1:18" s="862" customFormat="1" ht="15" customHeight="1">
      <c r="A18" s="840">
        <v>3</v>
      </c>
      <c r="B18" s="841" t="s">
        <v>22</v>
      </c>
      <c r="C18" s="772">
        <v>4</v>
      </c>
      <c r="D18" s="858">
        <v>64.4</v>
      </c>
      <c r="E18" s="775">
        <v>2690</v>
      </c>
      <c r="F18" s="775">
        <v>860800</v>
      </c>
      <c r="G18" s="775">
        <v>4524000</v>
      </c>
      <c r="H18" s="772">
        <v>8</v>
      </c>
      <c r="K18" s="840">
        <v>3</v>
      </c>
      <c r="L18" s="841" t="s">
        <v>22</v>
      </c>
      <c r="M18" s="792">
        <v>6</v>
      </c>
      <c r="N18" s="859">
        <v>64.4</v>
      </c>
      <c r="O18" s="860">
        <v>48990</v>
      </c>
      <c r="P18" s="775">
        <v>39192000</v>
      </c>
      <c r="Q18" s="775">
        <v>1085000</v>
      </c>
      <c r="R18" s="772">
        <v>8</v>
      </c>
    </row>
    <row r="19" spans="1:18" s="862" customFormat="1" ht="15" customHeight="1">
      <c r="A19" s="840">
        <v>4</v>
      </c>
      <c r="B19" s="841" t="s">
        <v>23</v>
      </c>
      <c r="C19" s="772">
        <v>2</v>
      </c>
      <c r="D19" s="858">
        <v>54.96</v>
      </c>
      <c r="E19" s="775">
        <v>0</v>
      </c>
      <c r="F19" s="775">
        <v>0</v>
      </c>
      <c r="G19" s="775">
        <v>0</v>
      </c>
      <c r="H19" s="772">
        <v>0</v>
      </c>
      <c r="K19" s="840">
        <v>4</v>
      </c>
      <c r="L19" s="841" t="s">
        <v>23</v>
      </c>
      <c r="M19" s="792">
        <v>1</v>
      </c>
      <c r="N19" s="859">
        <v>46.32</v>
      </c>
      <c r="O19" s="860">
        <v>0</v>
      </c>
      <c r="P19" s="775">
        <v>0</v>
      </c>
      <c r="Q19" s="775">
        <v>185280</v>
      </c>
      <c r="R19" s="772">
        <v>2</v>
      </c>
    </row>
    <row r="20" spans="1:18" ht="15" customHeight="1">
      <c r="A20" s="840">
        <v>5</v>
      </c>
      <c r="B20" s="841" t="s">
        <v>24</v>
      </c>
      <c r="C20" s="772">
        <v>2</v>
      </c>
      <c r="D20" s="858">
        <v>135.5</v>
      </c>
      <c r="E20" s="775">
        <v>0</v>
      </c>
      <c r="F20" s="775">
        <v>0</v>
      </c>
      <c r="G20" s="775">
        <v>2000</v>
      </c>
      <c r="H20" s="772">
        <v>0</v>
      </c>
      <c r="K20" s="840">
        <v>5</v>
      </c>
      <c r="L20" s="841" t="s">
        <v>24</v>
      </c>
      <c r="M20" s="792">
        <v>2</v>
      </c>
      <c r="N20" s="859">
        <v>9.4</v>
      </c>
      <c r="O20" s="860">
        <v>0</v>
      </c>
      <c r="P20" s="775">
        <v>0</v>
      </c>
      <c r="Q20" s="775">
        <v>0</v>
      </c>
      <c r="R20" s="772">
        <v>0</v>
      </c>
    </row>
    <row r="21" spans="1:18" ht="15" customHeight="1">
      <c r="A21" s="840">
        <v>6</v>
      </c>
      <c r="B21" s="841" t="s">
        <v>25</v>
      </c>
      <c r="C21" s="772">
        <v>1</v>
      </c>
      <c r="D21" s="858">
        <v>5</v>
      </c>
      <c r="E21" s="775">
        <v>780</v>
      </c>
      <c r="F21" s="775">
        <v>105300</v>
      </c>
      <c r="G21" s="775">
        <v>20000</v>
      </c>
      <c r="H21" s="772">
        <v>6</v>
      </c>
      <c r="K21" s="840">
        <v>6</v>
      </c>
      <c r="L21" s="841" t="s">
        <v>25</v>
      </c>
      <c r="M21" s="792">
        <v>1</v>
      </c>
      <c r="N21" s="859">
        <v>4.74</v>
      </c>
      <c r="O21" s="860">
        <v>680</v>
      </c>
      <c r="P21" s="775">
        <v>122400</v>
      </c>
      <c r="Q21" s="775">
        <v>10000</v>
      </c>
      <c r="R21" s="772">
        <v>2</v>
      </c>
    </row>
    <row r="22" spans="1:18" ht="12.75" customHeight="1" hidden="1">
      <c r="A22" s="840">
        <v>7</v>
      </c>
      <c r="B22" s="841" t="s">
        <v>16</v>
      </c>
      <c r="C22" s="772">
        <v>1</v>
      </c>
      <c r="D22" s="858">
        <v>33.8</v>
      </c>
      <c r="E22" s="775">
        <v>0</v>
      </c>
      <c r="F22" s="775">
        <v>0</v>
      </c>
      <c r="G22" s="775">
        <v>20000</v>
      </c>
      <c r="H22" s="772">
        <v>0</v>
      </c>
      <c r="K22" s="840">
        <v>7</v>
      </c>
      <c r="L22" s="841" t="s">
        <v>16</v>
      </c>
      <c r="M22" s="792"/>
      <c r="N22" s="859"/>
      <c r="O22" s="860"/>
      <c r="P22" s="775"/>
      <c r="Q22" s="775"/>
      <c r="R22" s="772"/>
    </row>
    <row r="23" spans="1:18" ht="15" customHeight="1">
      <c r="A23" s="840">
        <v>8</v>
      </c>
      <c r="B23" s="841" t="s">
        <v>26</v>
      </c>
      <c r="C23" s="772">
        <v>3</v>
      </c>
      <c r="D23" s="858">
        <v>15</v>
      </c>
      <c r="E23" s="775">
        <v>743</v>
      </c>
      <c r="F23" s="775">
        <v>631550</v>
      </c>
      <c r="G23" s="775">
        <v>26000</v>
      </c>
      <c r="H23" s="772">
        <v>40</v>
      </c>
      <c r="K23" s="840">
        <v>7</v>
      </c>
      <c r="L23" s="841" t="s">
        <v>26</v>
      </c>
      <c r="M23" s="792">
        <v>7</v>
      </c>
      <c r="N23" s="859">
        <v>29.4</v>
      </c>
      <c r="O23" s="860">
        <v>4300</v>
      </c>
      <c r="P23" s="775">
        <v>7740000</v>
      </c>
      <c r="Q23" s="775">
        <v>50000</v>
      </c>
      <c r="R23" s="772">
        <v>45</v>
      </c>
    </row>
    <row r="24" spans="1:18" s="861" customFormat="1" ht="15" customHeight="1">
      <c r="A24" s="840">
        <v>9</v>
      </c>
      <c r="B24" s="841" t="s">
        <v>27</v>
      </c>
      <c r="C24" s="772">
        <v>1</v>
      </c>
      <c r="D24" s="858">
        <v>858.8</v>
      </c>
      <c r="E24" s="775">
        <v>1323414.4</v>
      </c>
      <c r="F24" s="775">
        <v>224980447.99999997</v>
      </c>
      <c r="G24" s="775">
        <v>62729132</v>
      </c>
      <c r="H24" s="772">
        <v>75</v>
      </c>
      <c r="K24" s="840">
        <v>8</v>
      </c>
      <c r="L24" s="841" t="s">
        <v>27</v>
      </c>
      <c r="M24" s="792">
        <v>1</v>
      </c>
      <c r="N24" s="859">
        <v>858.8</v>
      </c>
      <c r="O24" s="860">
        <v>1493923</v>
      </c>
      <c r="P24" s="775">
        <v>243509482</v>
      </c>
      <c r="Q24" s="775">
        <v>96741000</v>
      </c>
      <c r="R24" s="772">
        <v>103</v>
      </c>
    </row>
    <row r="25" spans="1:18" ht="15" customHeight="1">
      <c r="A25" s="840">
        <v>10</v>
      </c>
      <c r="B25" s="841" t="s">
        <v>28</v>
      </c>
      <c r="C25" s="772">
        <v>1</v>
      </c>
      <c r="D25" s="858">
        <v>480.45</v>
      </c>
      <c r="E25" s="775">
        <v>0</v>
      </c>
      <c r="F25" s="775">
        <v>0</v>
      </c>
      <c r="G25" s="775">
        <v>288000</v>
      </c>
      <c r="H25" s="772">
        <v>45</v>
      </c>
      <c r="K25" s="840">
        <v>9</v>
      </c>
      <c r="L25" s="841" t="s">
        <v>28</v>
      </c>
      <c r="M25" s="792">
        <v>1</v>
      </c>
      <c r="N25" s="859">
        <v>480.5</v>
      </c>
      <c r="O25" s="860">
        <v>39071</v>
      </c>
      <c r="P25" s="775">
        <v>0</v>
      </c>
      <c r="Q25" s="775">
        <v>26019000</v>
      </c>
      <c r="R25" s="772">
        <v>112</v>
      </c>
    </row>
    <row r="26" spans="1:18" ht="15" customHeight="1">
      <c r="A26" s="840">
        <v>11</v>
      </c>
      <c r="B26" s="841" t="s">
        <v>29</v>
      </c>
      <c r="C26" s="772">
        <v>6</v>
      </c>
      <c r="D26" s="858">
        <v>29.14</v>
      </c>
      <c r="E26" s="775">
        <v>0</v>
      </c>
      <c r="F26" s="775">
        <v>0</v>
      </c>
      <c r="G26" s="775">
        <v>12742</v>
      </c>
      <c r="H26" s="772">
        <v>5</v>
      </c>
      <c r="K26" s="840">
        <v>10</v>
      </c>
      <c r="L26" s="841" t="s">
        <v>29</v>
      </c>
      <c r="M26" s="792">
        <v>6</v>
      </c>
      <c r="N26" s="859">
        <v>24.5</v>
      </c>
      <c r="O26" s="860">
        <v>0</v>
      </c>
      <c r="P26" s="775">
        <v>0</v>
      </c>
      <c r="Q26" s="775">
        <v>126000</v>
      </c>
      <c r="R26" s="772">
        <v>2</v>
      </c>
    </row>
    <row r="27" spans="1:18" ht="15" customHeight="1">
      <c r="A27" s="840">
        <v>12</v>
      </c>
      <c r="B27" s="841" t="s">
        <v>30</v>
      </c>
      <c r="C27" s="772">
        <v>2</v>
      </c>
      <c r="D27" s="858">
        <v>9.93</v>
      </c>
      <c r="E27" s="775">
        <v>0</v>
      </c>
      <c r="F27" s="775">
        <v>0</v>
      </c>
      <c r="G27" s="775">
        <v>20000</v>
      </c>
      <c r="H27" s="772">
        <v>1</v>
      </c>
      <c r="K27" s="840">
        <v>11</v>
      </c>
      <c r="L27" s="841" t="s">
        <v>30</v>
      </c>
      <c r="M27" s="792">
        <v>2</v>
      </c>
      <c r="N27" s="863">
        <v>9.93</v>
      </c>
      <c r="O27" s="860">
        <v>0</v>
      </c>
      <c r="P27" s="775">
        <v>0</v>
      </c>
      <c r="Q27" s="775">
        <v>10000</v>
      </c>
      <c r="R27" s="772">
        <v>0</v>
      </c>
    </row>
    <row r="28" spans="1:18" ht="15" customHeight="1">
      <c r="A28" s="840">
        <v>13</v>
      </c>
      <c r="B28" s="841" t="s">
        <v>31</v>
      </c>
      <c r="C28" s="772">
        <v>1</v>
      </c>
      <c r="D28" s="858">
        <v>5</v>
      </c>
      <c r="E28" s="775">
        <v>15</v>
      </c>
      <c r="F28" s="775">
        <v>6750</v>
      </c>
      <c r="G28" s="775">
        <v>15000</v>
      </c>
      <c r="H28" s="772">
        <v>3</v>
      </c>
      <c r="K28" s="840">
        <v>12</v>
      </c>
      <c r="L28" s="841" t="s">
        <v>31</v>
      </c>
      <c r="M28" s="792">
        <v>1</v>
      </c>
      <c r="N28" s="859">
        <v>4</v>
      </c>
      <c r="O28" s="860">
        <v>0</v>
      </c>
      <c r="P28" s="775">
        <v>0</v>
      </c>
      <c r="Q28" s="775">
        <v>2000</v>
      </c>
      <c r="R28" s="772">
        <v>0</v>
      </c>
    </row>
    <row r="29" spans="1:18" ht="15" customHeight="1">
      <c r="A29" s="840"/>
      <c r="B29" s="841"/>
      <c r="C29" s="772"/>
      <c r="D29" s="858"/>
      <c r="E29" s="775"/>
      <c r="F29" s="775"/>
      <c r="G29" s="775"/>
      <c r="H29" s="772"/>
      <c r="K29" s="840">
        <v>13</v>
      </c>
      <c r="L29" s="841" t="s">
        <v>260</v>
      </c>
      <c r="M29" s="792">
        <v>0</v>
      </c>
      <c r="N29" s="859">
        <v>0</v>
      </c>
      <c r="O29" s="860">
        <v>0</v>
      </c>
      <c r="P29" s="775">
        <v>0</v>
      </c>
      <c r="Q29" s="775">
        <v>0</v>
      </c>
      <c r="R29" s="772">
        <v>0</v>
      </c>
    </row>
    <row r="30" spans="1:18" ht="15" customHeight="1">
      <c r="A30" s="840"/>
      <c r="B30" s="847" t="s">
        <v>19</v>
      </c>
      <c r="C30" s="849">
        <f aca="true" t="shared" si="2" ref="C30:H30">SUM(C16:C28)</f>
        <v>397</v>
      </c>
      <c r="D30" s="864">
        <f t="shared" si="2"/>
        <v>4582.76</v>
      </c>
      <c r="E30" s="850">
        <f t="shared" si="2"/>
        <v>1567330.4</v>
      </c>
      <c r="F30" s="850">
        <f t="shared" si="2"/>
        <v>270013238</v>
      </c>
      <c r="G30" s="850">
        <f t="shared" si="2"/>
        <v>85773629</v>
      </c>
      <c r="H30" s="850">
        <f t="shared" si="2"/>
        <v>2913</v>
      </c>
      <c r="K30" s="865"/>
      <c r="L30" s="853" t="s">
        <v>19</v>
      </c>
      <c r="M30" s="855">
        <f aca="true" t="shared" si="3" ref="M30:R30">SUM(M16:M29)</f>
        <v>562</v>
      </c>
      <c r="N30" s="866">
        <f t="shared" si="3"/>
        <v>4653.1320000000005</v>
      </c>
      <c r="O30" s="856">
        <f t="shared" si="3"/>
        <v>2048882</v>
      </c>
      <c r="P30" s="856">
        <f t="shared" si="3"/>
        <v>456745332</v>
      </c>
      <c r="Q30" s="856">
        <f t="shared" si="3"/>
        <v>162167423</v>
      </c>
      <c r="R30" s="856">
        <f t="shared" si="3"/>
        <v>4449</v>
      </c>
    </row>
    <row r="31" spans="1:18" ht="15" customHeight="1">
      <c r="A31" s="826"/>
      <c r="B31" s="827"/>
      <c r="C31" s="807"/>
      <c r="D31" s="857"/>
      <c r="E31" s="809"/>
      <c r="F31" s="809"/>
      <c r="G31" s="809"/>
      <c r="H31" s="829"/>
      <c r="K31" s="826"/>
      <c r="L31" s="827"/>
      <c r="M31" s="807"/>
      <c r="N31" s="857"/>
      <c r="O31" s="809"/>
      <c r="P31" s="809"/>
      <c r="Q31" s="809"/>
      <c r="R31" s="829"/>
    </row>
    <row r="32" spans="1:18" ht="15" customHeight="1">
      <c r="A32" s="826"/>
      <c r="B32" s="827"/>
      <c r="C32" s="807"/>
      <c r="D32" s="828" t="s">
        <v>32</v>
      </c>
      <c r="E32" s="809"/>
      <c r="F32" s="809"/>
      <c r="G32" s="809"/>
      <c r="H32" s="829"/>
      <c r="K32" s="826"/>
      <c r="L32" s="827"/>
      <c r="M32" s="807"/>
      <c r="N32" s="828" t="s">
        <v>32</v>
      </c>
      <c r="O32" s="809"/>
      <c r="P32" s="809"/>
      <c r="Q32" s="809"/>
      <c r="R32" s="829"/>
    </row>
    <row r="33" spans="1:18" ht="15" customHeight="1">
      <c r="A33" s="1125" t="s">
        <v>4</v>
      </c>
      <c r="B33" s="830" t="s">
        <v>5</v>
      </c>
      <c r="C33" s="830" t="s">
        <v>6</v>
      </c>
      <c r="D33" s="830" t="s">
        <v>7</v>
      </c>
      <c r="E33" s="830" t="s">
        <v>8</v>
      </c>
      <c r="F33" s="830" t="s">
        <v>9</v>
      </c>
      <c r="G33" s="830" t="s">
        <v>10</v>
      </c>
      <c r="H33" s="830" t="s">
        <v>11</v>
      </c>
      <c r="K33" s="1124" t="s">
        <v>4</v>
      </c>
      <c r="L33" s="831" t="s">
        <v>5</v>
      </c>
      <c r="M33" s="831" t="s">
        <v>6</v>
      </c>
      <c r="N33" s="831" t="s">
        <v>7</v>
      </c>
      <c r="O33" s="831" t="s">
        <v>8</v>
      </c>
      <c r="P33" s="831" t="s">
        <v>9</v>
      </c>
      <c r="Q33" s="831" t="s">
        <v>10</v>
      </c>
      <c r="R33" s="831" t="s">
        <v>11</v>
      </c>
    </row>
    <row r="34" spans="1:18" ht="15" customHeight="1">
      <c r="A34" s="1125"/>
      <c r="B34" s="832"/>
      <c r="C34" s="833"/>
      <c r="D34" s="834" t="s">
        <v>12</v>
      </c>
      <c r="E34" s="834" t="s">
        <v>13</v>
      </c>
      <c r="F34" s="835" t="s">
        <v>14</v>
      </c>
      <c r="G34" s="835" t="s">
        <v>14</v>
      </c>
      <c r="H34" s="834" t="s">
        <v>15</v>
      </c>
      <c r="K34" s="1124"/>
      <c r="L34" s="836"/>
      <c r="M34" s="837"/>
      <c r="N34" s="838" t="s">
        <v>12</v>
      </c>
      <c r="O34" s="838" t="s">
        <v>13</v>
      </c>
      <c r="P34" s="839" t="s">
        <v>391</v>
      </c>
      <c r="Q34" s="839" t="s">
        <v>391</v>
      </c>
      <c r="R34" s="838" t="s">
        <v>15</v>
      </c>
    </row>
    <row r="35" spans="1:18" ht="15" customHeight="1">
      <c r="A35" s="840">
        <v>1</v>
      </c>
      <c r="B35" s="841" t="s">
        <v>33</v>
      </c>
      <c r="C35" s="772">
        <v>1</v>
      </c>
      <c r="D35" s="858">
        <v>20</v>
      </c>
      <c r="E35" s="775">
        <v>0</v>
      </c>
      <c r="F35" s="775">
        <v>0</v>
      </c>
      <c r="G35" s="775">
        <v>13874</v>
      </c>
      <c r="H35" s="772">
        <v>0</v>
      </c>
      <c r="K35" s="840">
        <v>1</v>
      </c>
      <c r="L35" s="841" t="s">
        <v>21</v>
      </c>
      <c r="M35" s="1135">
        <v>1</v>
      </c>
      <c r="N35" s="1137">
        <v>4</v>
      </c>
      <c r="O35" s="775"/>
      <c r="P35" s="775"/>
      <c r="Q35" s="775">
        <v>49974</v>
      </c>
      <c r="R35" s="772"/>
    </row>
    <row r="36" spans="1:18" ht="15" customHeight="1">
      <c r="A36" s="840">
        <v>2</v>
      </c>
      <c r="B36" s="841" t="s">
        <v>34</v>
      </c>
      <c r="C36" s="772">
        <v>1</v>
      </c>
      <c r="D36" s="858">
        <v>4.6856</v>
      </c>
      <c r="E36" s="775">
        <v>0</v>
      </c>
      <c r="F36" s="775">
        <v>0</v>
      </c>
      <c r="G36" s="775">
        <v>12948</v>
      </c>
      <c r="H36" s="772">
        <v>0</v>
      </c>
      <c r="K36" s="840">
        <v>2</v>
      </c>
      <c r="L36" s="841" t="s">
        <v>17</v>
      </c>
      <c r="M36" s="1136"/>
      <c r="N36" s="1138"/>
      <c r="O36" s="775"/>
      <c r="P36" s="775"/>
      <c r="Q36" s="775"/>
      <c r="R36" s="772"/>
    </row>
    <row r="37" spans="1:18" ht="12.75" customHeight="1" hidden="1">
      <c r="A37" s="840">
        <v>3</v>
      </c>
      <c r="B37" s="841" t="s">
        <v>31</v>
      </c>
      <c r="C37" s="772"/>
      <c r="D37" s="858"/>
      <c r="E37" s="775"/>
      <c r="F37" s="775"/>
      <c r="G37" s="775">
        <v>3238</v>
      </c>
      <c r="H37" s="772"/>
      <c r="K37" s="840">
        <v>3</v>
      </c>
      <c r="L37" s="841"/>
      <c r="M37" s="772"/>
      <c r="N37" s="841"/>
      <c r="O37" s="775"/>
      <c r="P37" s="775"/>
      <c r="Q37" s="775"/>
      <c r="R37" s="772"/>
    </row>
    <row r="38" spans="1:18" ht="15" customHeight="1">
      <c r="A38" s="867">
        <v>4</v>
      </c>
      <c r="B38" s="841" t="s">
        <v>21</v>
      </c>
      <c r="C38" s="868">
        <v>1</v>
      </c>
      <c r="D38" s="869">
        <v>4.7305</v>
      </c>
      <c r="E38" s="775">
        <v>62</v>
      </c>
      <c r="F38" s="775">
        <v>18600</v>
      </c>
      <c r="G38" s="775">
        <v>7200</v>
      </c>
      <c r="H38" s="772">
        <v>4</v>
      </c>
      <c r="K38" s="867">
        <v>3</v>
      </c>
      <c r="L38" s="841" t="s">
        <v>36</v>
      </c>
      <c r="M38" s="868">
        <v>2</v>
      </c>
      <c r="N38" s="841">
        <v>8.5025</v>
      </c>
      <c r="O38" s="775">
        <v>5260</v>
      </c>
      <c r="P38" s="775">
        <v>1578000</v>
      </c>
      <c r="Q38" s="775">
        <v>104000</v>
      </c>
      <c r="R38" s="772">
        <v>3</v>
      </c>
    </row>
    <row r="39" spans="1:18" s="862" customFormat="1" ht="15" customHeight="1">
      <c r="A39" s="840">
        <v>5</v>
      </c>
      <c r="B39" s="841" t="s">
        <v>17</v>
      </c>
      <c r="C39" s="868"/>
      <c r="D39" s="869"/>
      <c r="E39" s="775">
        <v>401.5</v>
      </c>
      <c r="F39" s="775">
        <v>94353</v>
      </c>
      <c r="G39" s="775">
        <v>4931</v>
      </c>
      <c r="H39" s="772">
        <v>12</v>
      </c>
      <c r="K39" s="840">
        <v>4</v>
      </c>
      <c r="L39" s="841" t="s">
        <v>25</v>
      </c>
      <c r="M39" s="868">
        <v>1</v>
      </c>
      <c r="N39" s="841">
        <v>4.6856</v>
      </c>
      <c r="O39" s="775">
        <v>6033</v>
      </c>
      <c r="P39" s="775">
        <v>1508250</v>
      </c>
      <c r="Q39" s="775">
        <v>188000</v>
      </c>
      <c r="R39" s="772">
        <v>3</v>
      </c>
    </row>
    <row r="40" spans="1:18" s="862" customFormat="1" ht="15" customHeight="1">
      <c r="A40" s="840">
        <v>4</v>
      </c>
      <c r="B40" s="841" t="s">
        <v>35</v>
      </c>
      <c r="C40" s="772">
        <v>1</v>
      </c>
      <c r="D40" s="858">
        <v>3.5894</v>
      </c>
      <c r="E40" s="775">
        <v>1843.685</v>
      </c>
      <c r="F40" s="775">
        <v>248897</v>
      </c>
      <c r="G40" s="775">
        <v>40000</v>
      </c>
      <c r="H40" s="772">
        <v>3</v>
      </c>
      <c r="K40" s="840">
        <v>5</v>
      </c>
      <c r="L40" s="841" t="s">
        <v>34</v>
      </c>
      <c r="M40" s="772">
        <v>1</v>
      </c>
      <c r="N40" s="841">
        <v>3.589</v>
      </c>
      <c r="O40" s="775"/>
      <c r="P40" s="775"/>
      <c r="Q40" s="775"/>
      <c r="R40" s="772"/>
    </row>
    <row r="41" spans="1:18" s="862" customFormat="1" ht="15" customHeight="1">
      <c r="A41" s="840">
        <v>6</v>
      </c>
      <c r="B41" s="841" t="s">
        <v>36</v>
      </c>
      <c r="C41" s="772">
        <v>1</v>
      </c>
      <c r="D41" s="858">
        <v>69.367</v>
      </c>
      <c r="E41" s="775">
        <v>5250</v>
      </c>
      <c r="F41" s="775">
        <v>866250</v>
      </c>
      <c r="G41" s="775">
        <v>91800</v>
      </c>
      <c r="H41" s="772">
        <v>4</v>
      </c>
      <c r="K41" s="840">
        <v>6</v>
      </c>
      <c r="L41" s="841" t="s">
        <v>267</v>
      </c>
      <c r="M41" s="772">
        <v>1</v>
      </c>
      <c r="N41" s="841">
        <v>20</v>
      </c>
      <c r="O41" s="775"/>
      <c r="P41" s="775"/>
      <c r="Q41" s="775">
        <v>35750</v>
      </c>
      <c r="R41" s="772"/>
    </row>
    <row r="42" spans="1:18" s="862" customFormat="1" ht="15" customHeight="1">
      <c r="A42" s="840"/>
      <c r="B42" s="841"/>
      <c r="C42" s="772"/>
      <c r="D42" s="858"/>
      <c r="E42" s="775"/>
      <c r="F42" s="775"/>
      <c r="G42" s="775"/>
      <c r="H42" s="772"/>
      <c r="K42" s="840">
        <v>7</v>
      </c>
      <c r="L42" s="841" t="s">
        <v>33</v>
      </c>
      <c r="M42" s="772">
        <v>1</v>
      </c>
      <c r="N42" s="841">
        <v>69.367</v>
      </c>
      <c r="O42" s="775"/>
      <c r="P42" s="775"/>
      <c r="Q42" s="775">
        <v>250</v>
      </c>
      <c r="R42" s="772"/>
    </row>
    <row r="43" spans="1:18" ht="15" customHeight="1">
      <c r="A43" s="840">
        <v>7</v>
      </c>
      <c r="B43" s="841" t="s">
        <v>25</v>
      </c>
      <c r="C43" s="772">
        <v>2</v>
      </c>
      <c r="D43" s="858">
        <v>8.7305</v>
      </c>
      <c r="E43" s="775">
        <v>0</v>
      </c>
      <c r="F43" s="775">
        <v>0</v>
      </c>
      <c r="G43" s="775">
        <v>79283</v>
      </c>
      <c r="H43" s="772">
        <v>0</v>
      </c>
      <c r="K43" s="840">
        <v>8</v>
      </c>
      <c r="L43" s="841" t="s">
        <v>98</v>
      </c>
      <c r="M43" s="772"/>
      <c r="N43" s="841"/>
      <c r="O43" s="775"/>
      <c r="P43" s="775"/>
      <c r="Q43" s="775">
        <v>2050</v>
      </c>
      <c r="R43" s="772"/>
    </row>
    <row r="44" spans="1:18" ht="15" customHeight="1">
      <c r="A44" s="846"/>
      <c r="B44" s="847" t="s">
        <v>19</v>
      </c>
      <c r="C44" s="849">
        <f aca="true" t="shared" si="4" ref="C44:H44">SUM(C35:C43)</f>
        <v>7</v>
      </c>
      <c r="D44" s="864">
        <f t="shared" si="4"/>
        <v>111.10300000000001</v>
      </c>
      <c r="E44" s="850">
        <f t="shared" si="4"/>
        <v>7557.1849999999995</v>
      </c>
      <c r="F44" s="850">
        <f t="shared" si="4"/>
        <v>1228100</v>
      </c>
      <c r="G44" s="850">
        <f t="shared" si="4"/>
        <v>253274</v>
      </c>
      <c r="H44" s="849">
        <f t="shared" si="4"/>
        <v>23</v>
      </c>
      <c r="K44" s="852"/>
      <c r="L44" s="853" t="s">
        <v>19</v>
      </c>
      <c r="M44" s="855">
        <f aca="true" t="shared" si="5" ref="M44:R44">SUM(M35:M43)</f>
        <v>7</v>
      </c>
      <c r="N44" s="866">
        <f t="shared" si="5"/>
        <v>110.14410000000001</v>
      </c>
      <c r="O44" s="856">
        <f t="shared" si="5"/>
        <v>11293</v>
      </c>
      <c r="P44" s="856">
        <f t="shared" si="5"/>
        <v>3086250</v>
      </c>
      <c r="Q44" s="856">
        <f t="shared" si="5"/>
        <v>380024</v>
      </c>
      <c r="R44" s="855">
        <f t="shared" si="5"/>
        <v>6</v>
      </c>
    </row>
    <row r="45" spans="1:18" ht="15" customHeight="1">
      <c r="A45" s="826"/>
      <c r="B45" s="827"/>
      <c r="C45" s="807"/>
      <c r="D45" s="857"/>
      <c r="E45" s="809"/>
      <c r="F45" s="809"/>
      <c r="G45" s="809"/>
      <c r="H45" s="829"/>
      <c r="K45" s="826"/>
      <c r="L45" s="827"/>
      <c r="M45" s="807"/>
      <c r="N45" s="857"/>
      <c r="O45" s="809"/>
      <c r="P45" s="809"/>
      <c r="Q45" s="809"/>
      <c r="R45" s="829"/>
    </row>
    <row r="46" spans="1:18" ht="15" customHeight="1">
      <c r="A46" s="870"/>
      <c r="B46" s="756"/>
      <c r="C46" s="757"/>
      <c r="D46" s="828" t="s">
        <v>37</v>
      </c>
      <c r="E46" s="760"/>
      <c r="F46" s="760"/>
      <c r="G46" s="760"/>
      <c r="H46" s="871"/>
      <c r="K46" s="870"/>
      <c r="L46" s="756"/>
      <c r="M46" s="757"/>
      <c r="N46" s="828" t="s">
        <v>37</v>
      </c>
      <c r="O46" s="760"/>
      <c r="P46" s="760"/>
      <c r="Q46" s="760"/>
      <c r="R46" s="871"/>
    </row>
    <row r="47" spans="1:18" ht="15" customHeight="1">
      <c r="A47" s="1125" t="s">
        <v>4</v>
      </c>
      <c r="B47" s="830" t="s">
        <v>5</v>
      </c>
      <c r="C47" s="830" t="s">
        <v>6</v>
      </c>
      <c r="D47" s="830" t="s">
        <v>7</v>
      </c>
      <c r="E47" s="830" t="s">
        <v>8</v>
      </c>
      <c r="F47" s="830" t="s">
        <v>9</v>
      </c>
      <c r="G47" s="830" t="s">
        <v>10</v>
      </c>
      <c r="H47" s="830" t="s">
        <v>11</v>
      </c>
      <c r="K47" s="1124" t="s">
        <v>4</v>
      </c>
      <c r="L47" s="831" t="s">
        <v>5</v>
      </c>
      <c r="M47" s="831" t="s">
        <v>6</v>
      </c>
      <c r="N47" s="831" t="s">
        <v>7</v>
      </c>
      <c r="O47" s="831" t="s">
        <v>8</v>
      </c>
      <c r="P47" s="831" t="s">
        <v>9</v>
      </c>
      <c r="Q47" s="831" t="s">
        <v>10</v>
      </c>
      <c r="R47" s="831" t="s">
        <v>11</v>
      </c>
    </row>
    <row r="48" spans="1:18" ht="15" customHeight="1">
      <c r="A48" s="1125"/>
      <c r="B48" s="832"/>
      <c r="C48" s="833"/>
      <c r="D48" s="834" t="s">
        <v>12</v>
      </c>
      <c r="E48" s="834" t="s">
        <v>13</v>
      </c>
      <c r="F48" s="835" t="s">
        <v>14</v>
      </c>
      <c r="G48" s="835" t="s">
        <v>14</v>
      </c>
      <c r="H48" s="834" t="s">
        <v>15</v>
      </c>
      <c r="K48" s="1124"/>
      <c r="L48" s="836"/>
      <c r="M48" s="837"/>
      <c r="N48" s="838" t="s">
        <v>12</v>
      </c>
      <c r="O48" s="838" t="s">
        <v>13</v>
      </c>
      <c r="P48" s="839" t="s">
        <v>391</v>
      </c>
      <c r="Q48" s="839" t="s">
        <v>391</v>
      </c>
      <c r="R48" s="838" t="s">
        <v>15</v>
      </c>
    </row>
    <row r="49" spans="1:18" ht="15" customHeight="1">
      <c r="A49" s="846">
        <v>1</v>
      </c>
      <c r="B49" s="841" t="s">
        <v>38</v>
      </c>
      <c r="C49" s="792">
        <v>1</v>
      </c>
      <c r="D49" s="858">
        <v>18.898</v>
      </c>
      <c r="E49" s="775">
        <v>7288</v>
      </c>
      <c r="F49" s="775">
        <v>91100</v>
      </c>
      <c r="G49" s="775">
        <v>5068000</v>
      </c>
      <c r="H49" s="772">
        <v>70</v>
      </c>
      <c r="K49" s="846">
        <v>1</v>
      </c>
      <c r="L49" s="841" t="s">
        <v>39</v>
      </c>
      <c r="M49" s="792">
        <v>1</v>
      </c>
      <c r="N49" s="841">
        <v>71.3229</v>
      </c>
      <c r="O49" s="775"/>
      <c r="P49" s="775"/>
      <c r="Q49" s="775">
        <v>42000</v>
      </c>
      <c r="R49" s="772"/>
    </row>
    <row r="50" spans="1:18" ht="15" customHeight="1">
      <c r="A50" s="846">
        <v>2</v>
      </c>
      <c r="B50" s="841" t="s">
        <v>39</v>
      </c>
      <c r="C50" s="792">
        <v>1</v>
      </c>
      <c r="D50" s="858">
        <v>71.3229</v>
      </c>
      <c r="E50" s="775">
        <v>0</v>
      </c>
      <c r="F50" s="775">
        <v>0</v>
      </c>
      <c r="G50" s="775">
        <v>0</v>
      </c>
      <c r="H50" s="772">
        <v>0</v>
      </c>
      <c r="K50" s="846">
        <v>2</v>
      </c>
      <c r="L50" s="841" t="s">
        <v>25</v>
      </c>
      <c r="M50" s="772">
        <v>1</v>
      </c>
      <c r="N50" s="841">
        <v>63.3866</v>
      </c>
      <c r="O50" s="774">
        <v>1340</v>
      </c>
      <c r="P50" s="772">
        <v>1206000</v>
      </c>
      <c r="Q50" s="775">
        <v>563000</v>
      </c>
      <c r="R50" s="775">
        <v>250</v>
      </c>
    </row>
    <row r="51" spans="1:18" ht="12.75" customHeight="1" hidden="1">
      <c r="A51" s="846">
        <v>3</v>
      </c>
      <c r="B51" s="841" t="s">
        <v>40</v>
      </c>
      <c r="C51" s="792">
        <v>1</v>
      </c>
      <c r="D51" s="858">
        <v>76.8</v>
      </c>
      <c r="E51" s="775">
        <v>0</v>
      </c>
      <c r="F51" s="775">
        <v>0</v>
      </c>
      <c r="G51" s="775">
        <v>52000</v>
      </c>
      <c r="H51" s="772">
        <v>0</v>
      </c>
      <c r="K51" s="846">
        <v>3</v>
      </c>
      <c r="L51" s="841" t="s">
        <v>40</v>
      </c>
      <c r="M51" s="792"/>
      <c r="N51" s="841"/>
      <c r="O51" s="775"/>
      <c r="P51" s="775"/>
      <c r="Q51" s="775"/>
      <c r="R51" s="772"/>
    </row>
    <row r="52" spans="1:18" ht="15" customHeight="1">
      <c r="A52" s="846">
        <v>4</v>
      </c>
      <c r="B52" s="841" t="s">
        <v>27</v>
      </c>
      <c r="C52" s="792">
        <v>1</v>
      </c>
      <c r="D52" s="858">
        <v>65.82</v>
      </c>
      <c r="E52" s="775">
        <v>0</v>
      </c>
      <c r="F52" s="775">
        <v>0</v>
      </c>
      <c r="G52" s="775">
        <v>40000</v>
      </c>
      <c r="H52" s="772">
        <v>0</v>
      </c>
      <c r="K52" s="846">
        <v>3</v>
      </c>
      <c r="L52" s="841" t="s">
        <v>38</v>
      </c>
      <c r="M52" s="792">
        <v>1</v>
      </c>
      <c r="N52" s="841">
        <v>18.898</v>
      </c>
      <c r="O52" s="775">
        <v>4987</v>
      </c>
      <c r="P52" s="775">
        <v>12467500</v>
      </c>
      <c r="Q52" s="775">
        <v>838000</v>
      </c>
      <c r="R52" s="772">
        <v>70</v>
      </c>
    </row>
    <row r="53" spans="1:18" ht="15" customHeight="1">
      <c r="A53" s="846">
        <v>5</v>
      </c>
      <c r="B53" s="841" t="s">
        <v>25</v>
      </c>
      <c r="C53" s="792">
        <v>1</v>
      </c>
      <c r="D53" s="858">
        <v>63.3866</v>
      </c>
      <c r="E53" s="775">
        <v>12950</v>
      </c>
      <c r="F53" s="775">
        <v>1165500</v>
      </c>
      <c r="G53" s="775">
        <v>326000</v>
      </c>
      <c r="H53" s="772">
        <v>0</v>
      </c>
      <c r="K53" s="846">
        <v>4</v>
      </c>
      <c r="L53" s="841" t="s">
        <v>27</v>
      </c>
      <c r="M53" s="792">
        <v>1</v>
      </c>
      <c r="N53" s="841">
        <v>65.82</v>
      </c>
      <c r="O53" s="775">
        <v>1274549</v>
      </c>
      <c r="P53" s="775">
        <v>140200390</v>
      </c>
      <c r="Q53" s="775">
        <v>82345000</v>
      </c>
      <c r="R53" s="772">
        <v>800</v>
      </c>
    </row>
    <row r="54" spans="1:18" ht="15" customHeight="1">
      <c r="A54" s="846"/>
      <c r="B54" s="841"/>
      <c r="C54" s="792"/>
      <c r="D54" s="858"/>
      <c r="E54" s="775"/>
      <c r="F54" s="775"/>
      <c r="G54" s="775"/>
      <c r="H54" s="772"/>
      <c r="K54" s="846"/>
      <c r="L54" s="841" t="s">
        <v>41</v>
      </c>
      <c r="M54" s="792"/>
      <c r="N54" s="858"/>
      <c r="O54" s="775"/>
      <c r="P54" s="775"/>
      <c r="Q54" s="775"/>
      <c r="R54" s="772"/>
    </row>
    <row r="55" spans="1:18" ht="15" customHeight="1">
      <c r="A55" s="846"/>
      <c r="B55" s="847" t="s">
        <v>19</v>
      </c>
      <c r="C55" s="849">
        <f aca="true" t="shared" si="6" ref="C55:H55">SUM(C49:C53)</f>
        <v>5</v>
      </c>
      <c r="D55" s="864">
        <f t="shared" si="6"/>
        <v>296.22749999999996</v>
      </c>
      <c r="E55" s="850">
        <f t="shared" si="6"/>
        <v>20238</v>
      </c>
      <c r="F55" s="850">
        <f t="shared" si="6"/>
        <v>1256600</v>
      </c>
      <c r="G55" s="850">
        <f t="shared" si="6"/>
        <v>5486000</v>
      </c>
      <c r="H55" s="849">
        <f t="shared" si="6"/>
        <v>70</v>
      </c>
      <c r="K55" s="846"/>
      <c r="L55" s="847" t="s">
        <v>19</v>
      </c>
      <c r="M55" s="850">
        <f aca="true" t="shared" si="7" ref="M55:R55">SUM(M49:M54)</f>
        <v>4</v>
      </c>
      <c r="N55" s="864">
        <f>SUM(N49:N54)</f>
        <v>219.42749999999998</v>
      </c>
      <c r="O55" s="850">
        <f t="shared" si="7"/>
        <v>1280876</v>
      </c>
      <c r="P55" s="850">
        <f t="shared" si="7"/>
        <v>153873890</v>
      </c>
      <c r="Q55" s="850">
        <f t="shared" si="7"/>
        <v>83788000</v>
      </c>
      <c r="R55" s="850">
        <f t="shared" si="7"/>
        <v>1120</v>
      </c>
    </row>
    <row r="56" spans="1:18" ht="15" customHeight="1">
      <c r="A56" s="826"/>
      <c r="B56" s="827"/>
      <c r="C56" s="807"/>
      <c r="D56" s="857"/>
      <c r="E56" s="809"/>
      <c r="F56" s="809"/>
      <c r="G56" s="809"/>
      <c r="H56" s="829"/>
      <c r="K56" s="826"/>
      <c r="L56" s="827"/>
      <c r="M56" s="807"/>
      <c r="N56" s="857"/>
      <c r="O56" s="809"/>
      <c r="P56" s="809"/>
      <c r="Q56" s="809"/>
      <c r="R56" s="829"/>
    </row>
    <row r="57" spans="1:18" ht="15" customHeight="1">
      <c r="A57" s="826"/>
      <c r="B57" s="827"/>
      <c r="C57" s="807"/>
      <c r="D57" s="828" t="s">
        <v>42</v>
      </c>
      <c r="E57" s="809"/>
      <c r="F57" s="809"/>
      <c r="G57" s="809"/>
      <c r="H57" s="829"/>
      <c r="K57" s="826"/>
      <c r="L57" s="827"/>
      <c r="M57" s="807"/>
      <c r="N57" s="828" t="s">
        <v>42</v>
      </c>
      <c r="O57" s="809"/>
      <c r="P57" s="809"/>
      <c r="Q57" s="809"/>
      <c r="R57" s="829"/>
    </row>
    <row r="58" spans="1:18" ht="15" customHeight="1">
      <c r="A58" s="1125" t="s">
        <v>4</v>
      </c>
      <c r="B58" s="830" t="s">
        <v>5</v>
      </c>
      <c r="C58" s="830" t="s">
        <v>6</v>
      </c>
      <c r="D58" s="830" t="s">
        <v>7</v>
      </c>
      <c r="E58" s="830" t="s">
        <v>8</v>
      </c>
      <c r="F58" s="830" t="s">
        <v>9</v>
      </c>
      <c r="G58" s="830" t="s">
        <v>10</v>
      </c>
      <c r="H58" s="830" t="s">
        <v>11</v>
      </c>
      <c r="K58" s="1124" t="s">
        <v>4</v>
      </c>
      <c r="L58" s="831" t="s">
        <v>5</v>
      </c>
      <c r="M58" s="831" t="s">
        <v>6</v>
      </c>
      <c r="N58" s="831" t="s">
        <v>7</v>
      </c>
      <c r="O58" s="831" t="s">
        <v>8</v>
      </c>
      <c r="P58" s="831" t="s">
        <v>9</v>
      </c>
      <c r="Q58" s="831" t="s">
        <v>10</v>
      </c>
      <c r="R58" s="831" t="s">
        <v>11</v>
      </c>
    </row>
    <row r="59" spans="1:18" ht="15" customHeight="1">
      <c r="A59" s="1125"/>
      <c r="B59" s="832"/>
      <c r="C59" s="833"/>
      <c r="D59" s="834" t="s">
        <v>12</v>
      </c>
      <c r="E59" s="834" t="s">
        <v>13</v>
      </c>
      <c r="F59" s="835" t="s">
        <v>14</v>
      </c>
      <c r="G59" s="835" t="s">
        <v>14</v>
      </c>
      <c r="H59" s="834" t="s">
        <v>15</v>
      </c>
      <c r="K59" s="1124"/>
      <c r="L59" s="836"/>
      <c r="M59" s="837"/>
      <c r="N59" s="838" t="s">
        <v>12</v>
      </c>
      <c r="O59" s="838" t="s">
        <v>13</v>
      </c>
      <c r="P59" s="839" t="s">
        <v>391</v>
      </c>
      <c r="Q59" s="839" t="s">
        <v>391</v>
      </c>
      <c r="R59" s="838" t="s">
        <v>15</v>
      </c>
    </row>
    <row r="60" spans="1:18" ht="15" customHeight="1">
      <c r="A60" s="872">
        <v>1</v>
      </c>
      <c r="B60" s="841" t="s">
        <v>43</v>
      </c>
      <c r="C60" s="792">
        <v>1</v>
      </c>
      <c r="D60" s="858">
        <v>2655.7</v>
      </c>
      <c r="E60" s="775">
        <v>998545.27</v>
      </c>
      <c r="F60" s="775">
        <v>157270880</v>
      </c>
      <c r="G60" s="775">
        <v>88674229</v>
      </c>
      <c r="H60" s="772">
        <v>3840</v>
      </c>
      <c r="K60" s="872">
        <v>1</v>
      </c>
      <c r="L60" s="841" t="s">
        <v>43</v>
      </c>
      <c r="M60" s="792">
        <v>3</v>
      </c>
      <c r="N60" s="858">
        <v>7391.7135</v>
      </c>
      <c r="O60" s="775">
        <v>4771286</v>
      </c>
      <c r="P60" s="775">
        <v>3211075828</v>
      </c>
      <c r="Q60" s="775">
        <v>347946000</v>
      </c>
      <c r="R60" s="792">
        <v>494</v>
      </c>
    </row>
    <row r="61" spans="1:18" ht="15" customHeight="1">
      <c r="A61" s="872">
        <v>2</v>
      </c>
      <c r="B61" s="841" t="s">
        <v>44</v>
      </c>
      <c r="C61" s="792">
        <v>5</v>
      </c>
      <c r="D61" s="858">
        <v>94.999</v>
      </c>
      <c r="E61" s="873" t="s">
        <v>45</v>
      </c>
      <c r="F61" s="873" t="s">
        <v>45</v>
      </c>
      <c r="G61" s="775">
        <v>78577</v>
      </c>
      <c r="H61" s="873" t="s">
        <v>45</v>
      </c>
      <c r="K61" s="872">
        <v>2</v>
      </c>
      <c r="L61" s="841" t="s">
        <v>44</v>
      </c>
      <c r="M61" s="792">
        <v>5</v>
      </c>
      <c r="N61" s="858">
        <v>94.999</v>
      </c>
      <c r="O61" s="873"/>
      <c r="P61" s="873"/>
      <c r="Q61" s="775">
        <v>284006</v>
      </c>
      <c r="R61" s="821"/>
    </row>
    <row r="62" spans="1:18" ht="15" customHeight="1">
      <c r="A62" s="872">
        <v>3</v>
      </c>
      <c r="B62" s="841" t="s">
        <v>46</v>
      </c>
      <c r="C62" s="792">
        <v>3</v>
      </c>
      <c r="D62" s="858">
        <v>402.62</v>
      </c>
      <c r="E62" s="775">
        <v>2973.8</v>
      </c>
      <c r="F62" s="775">
        <v>2527730</v>
      </c>
      <c r="G62" s="775">
        <v>264764</v>
      </c>
      <c r="H62" s="772">
        <v>62</v>
      </c>
      <c r="K62" s="872">
        <v>3</v>
      </c>
      <c r="L62" s="841" t="s">
        <v>46</v>
      </c>
      <c r="M62" s="792">
        <v>3</v>
      </c>
      <c r="N62" s="858">
        <v>402.62</v>
      </c>
      <c r="O62" s="775">
        <v>1337</v>
      </c>
      <c r="P62" s="775">
        <v>1136204</v>
      </c>
      <c r="Q62" s="775">
        <v>300000</v>
      </c>
      <c r="R62" s="792">
        <v>40</v>
      </c>
    </row>
    <row r="63" spans="1:18" ht="15" customHeight="1">
      <c r="A63" s="872">
        <v>4</v>
      </c>
      <c r="B63" s="841" t="s">
        <v>47</v>
      </c>
      <c r="C63" s="792">
        <v>4</v>
      </c>
      <c r="D63" s="858">
        <v>19.98</v>
      </c>
      <c r="E63" s="873" t="s">
        <v>45</v>
      </c>
      <c r="F63" s="873" t="s">
        <v>45</v>
      </c>
      <c r="G63" s="775">
        <v>54510</v>
      </c>
      <c r="H63" s="873" t="s">
        <v>45</v>
      </c>
      <c r="K63" s="872">
        <v>4</v>
      </c>
      <c r="L63" s="841" t="s">
        <v>47</v>
      </c>
      <c r="M63" s="792">
        <v>4</v>
      </c>
      <c r="N63" s="858">
        <v>19.98</v>
      </c>
      <c r="O63" s="873"/>
      <c r="P63" s="873"/>
      <c r="Q63" s="775">
        <v>28000</v>
      </c>
      <c r="R63" s="873"/>
    </row>
    <row r="64" spans="1:18" ht="15" customHeight="1">
      <c r="A64" s="872">
        <v>5</v>
      </c>
      <c r="B64" s="841" t="s">
        <v>48</v>
      </c>
      <c r="C64" s="792">
        <v>1</v>
      </c>
      <c r="D64" s="858">
        <v>336.08</v>
      </c>
      <c r="E64" s="873" t="s">
        <v>45</v>
      </c>
      <c r="F64" s="873" t="s">
        <v>45</v>
      </c>
      <c r="G64" s="775">
        <v>16809</v>
      </c>
      <c r="H64" s="873" t="s">
        <v>45</v>
      </c>
      <c r="K64" s="872">
        <v>5</v>
      </c>
      <c r="L64" s="841" t="s">
        <v>48</v>
      </c>
      <c r="M64" s="792">
        <v>1</v>
      </c>
      <c r="N64" s="858">
        <v>336.08</v>
      </c>
      <c r="O64" s="873"/>
      <c r="P64" s="873"/>
      <c r="Q64" s="775">
        <v>336000</v>
      </c>
      <c r="R64" s="873"/>
    </row>
    <row r="65" spans="1:18" ht="15" customHeight="1">
      <c r="A65" s="872"/>
      <c r="B65" s="841"/>
      <c r="C65" s="792"/>
      <c r="D65" s="858"/>
      <c r="E65" s="873"/>
      <c r="F65" s="873"/>
      <c r="G65" s="775"/>
      <c r="H65" s="873"/>
      <c r="K65" s="872">
        <v>6</v>
      </c>
      <c r="L65" s="841" t="s">
        <v>36</v>
      </c>
      <c r="M65" s="792"/>
      <c r="N65" s="858"/>
      <c r="O65" s="873"/>
      <c r="P65" s="873"/>
      <c r="Q65" s="775"/>
      <c r="R65" s="873"/>
    </row>
    <row r="66" spans="1:18" ht="16.5" customHeight="1">
      <c r="A66" s="872">
        <v>6</v>
      </c>
      <c r="B66" s="841" t="s">
        <v>41</v>
      </c>
      <c r="C66" s="792"/>
      <c r="D66" s="858"/>
      <c r="E66" s="873"/>
      <c r="F66" s="873"/>
      <c r="G66" s="775">
        <v>155000</v>
      </c>
      <c r="H66" s="873"/>
      <c r="K66" s="872">
        <v>7</v>
      </c>
      <c r="L66" s="841" t="s">
        <v>66</v>
      </c>
      <c r="M66" s="792"/>
      <c r="N66" s="858"/>
      <c r="O66" s="873"/>
      <c r="P66" s="873"/>
      <c r="Q66" s="775"/>
      <c r="R66" s="873"/>
    </row>
    <row r="67" spans="1:18" ht="15" customHeight="1">
      <c r="A67" s="846"/>
      <c r="B67" s="847" t="s">
        <v>19</v>
      </c>
      <c r="C67" s="848">
        <f>SUM(C60:C64)</f>
        <v>14</v>
      </c>
      <c r="D67" s="849">
        <f>SUM(D60:D64)</f>
        <v>3509.3789999999995</v>
      </c>
      <c r="E67" s="850">
        <f>SUM(E60:E64)</f>
        <v>1001519.0700000001</v>
      </c>
      <c r="F67" s="850">
        <f>SUM(F60:F64)</f>
        <v>159798610</v>
      </c>
      <c r="G67" s="850">
        <f>SUM(G60:G66)</f>
        <v>89243889</v>
      </c>
      <c r="H67" s="849">
        <f>SUM(H60:H64)</f>
        <v>3902</v>
      </c>
      <c r="K67" s="846"/>
      <c r="L67" s="847" t="s">
        <v>19</v>
      </c>
      <c r="M67" s="848">
        <f aca="true" t="shared" si="8" ref="M67:R67">SUM(M60:M66)</f>
        <v>16</v>
      </c>
      <c r="N67" s="864">
        <f t="shared" si="8"/>
        <v>8245.3925</v>
      </c>
      <c r="O67" s="850">
        <f t="shared" si="8"/>
        <v>4772623</v>
      </c>
      <c r="P67" s="850">
        <f t="shared" si="8"/>
        <v>3212212032</v>
      </c>
      <c r="Q67" s="850">
        <f t="shared" si="8"/>
        <v>348894006</v>
      </c>
      <c r="R67" s="850">
        <f t="shared" si="8"/>
        <v>534</v>
      </c>
    </row>
    <row r="68" spans="1:18" ht="15" customHeight="1">
      <c r="A68" s="826"/>
      <c r="B68" s="874"/>
      <c r="C68" s="875"/>
      <c r="D68" s="876"/>
      <c r="E68" s="877"/>
      <c r="F68" s="877"/>
      <c r="G68" s="877"/>
      <c r="H68" s="876"/>
      <c r="K68" s="826"/>
      <c r="L68" s="874"/>
      <c r="M68" s="875"/>
      <c r="N68" s="876"/>
      <c r="O68" s="877"/>
      <c r="P68" s="877"/>
      <c r="Q68" s="877"/>
      <c r="R68" s="876"/>
    </row>
    <row r="69" spans="1:18" ht="15" customHeight="1">
      <c r="A69" s="826"/>
      <c r="B69" s="827"/>
      <c r="C69" s="807"/>
      <c r="D69" s="828" t="s">
        <v>49</v>
      </c>
      <c r="E69" s="809"/>
      <c r="F69" s="809"/>
      <c r="G69" s="809"/>
      <c r="H69" s="829"/>
      <c r="K69" s="826"/>
      <c r="L69" s="827"/>
      <c r="M69" s="807"/>
      <c r="N69" s="828" t="s">
        <v>49</v>
      </c>
      <c r="O69" s="809"/>
      <c r="P69" s="809"/>
      <c r="Q69" s="809"/>
      <c r="R69" s="829"/>
    </row>
    <row r="70" spans="1:18" ht="15" customHeight="1">
      <c r="A70" s="1125" t="s">
        <v>4</v>
      </c>
      <c r="B70" s="830" t="s">
        <v>5</v>
      </c>
      <c r="C70" s="830" t="s">
        <v>6</v>
      </c>
      <c r="D70" s="830" t="s">
        <v>7</v>
      </c>
      <c r="E70" s="830" t="s">
        <v>8</v>
      </c>
      <c r="F70" s="830" t="s">
        <v>9</v>
      </c>
      <c r="G70" s="830" t="s">
        <v>10</v>
      </c>
      <c r="H70" s="830" t="s">
        <v>11</v>
      </c>
      <c r="K70" s="1124" t="s">
        <v>4</v>
      </c>
      <c r="L70" s="831" t="s">
        <v>5</v>
      </c>
      <c r="M70" s="831" t="s">
        <v>6</v>
      </c>
      <c r="N70" s="831" t="s">
        <v>7</v>
      </c>
      <c r="O70" s="831" t="s">
        <v>8</v>
      </c>
      <c r="P70" s="831" t="s">
        <v>9</v>
      </c>
      <c r="Q70" s="831" t="s">
        <v>10</v>
      </c>
      <c r="R70" s="831" t="s">
        <v>11</v>
      </c>
    </row>
    <row r="71" spans="1:18" ht="15" customHeight="1">
      <c r="A71" s="1125"/>
      <c r="B71" s="832"/>
      <c r="C71" s="833"/>
      <c r="D71" s="834" t="s">
        <v>12</v>
      </c>
      <c r="E71" s="834" t="s">
        <v>13</v>
      </c>
      <c r="F71" s="835" t="s">
        <v>14</v>
      </c>
      <c r="G71" s="835" t="s">
        <v>14</v>
      </c>
      <c r="H71" s="834" t="s">
        <v>15</v>
      </c>
      <c r="K71" s="1124"/>
      <c r="L71" s="836"/>
      <c r="M71" s="837"/>
      <c r="N71" s="838" t="s">
        <v>12</v>
      </c>
      <c r="O71" s="838" t="s">
        <v>13</v>
      </c>
      <c r="P71" s="839" t="s">
        <v>391</v>
      </c>
      <c r="Q71" s="839" t="s">
        <v>391</v>
      </c>
      <c r="R71" s="838" t="s">
        <v>15</v>
      </c>
    </row>
    <row r="72" spans="1:18" ht="31.5">
      <c r="A72" s="840">
        <v>1</v>
      </c>
      <c r="B72" s="841" t="s">
        <v>36</v>
      </c>
      <c r="C72" s="878">
        <v>19</v>
      </c>
      <c r="D72" s="879">
        <v>636.0461</v>
      </c>
      <c r="E72" s="878">
        <v>180091.25</v>
      </c>
      <c r="F72" s="878">
        <v>3601828</v>
      </c>
      <c r="G72" s="878">
        <v>3691325</v>
      </c>
      <c r="H72" s="878">
        <v>756</v>
      </c>
      <c r="K72" s="840">
        <v>1</v>
      </c>
      <c r="L72" s="841" t="s">
        <v>36</v>
      </c>
      <c r="M72" s="880">
        <v>14</v>
      </c>
      <c r="N72" s="881">
        <v>397.7961</v>
      </c>
      <c r="O72" s="880">
        <v>108063.48</v>
      </c>
      <c r="P72" s="882">
        <v>4521327</v>
      </c>
      <c r="Q72" s="880">
        <v>3566095</v>
      </c>
      <c r="R72" s="880">
        <v>18</v>
      </c>
    </row>
    <row r="73" spans="1:18" ht="15" customHeight="1">
      <c r="A73" s="840">
        <v>2</v>
      </c>
      <c r="B73" s="841" t="s">
        <v>50</v>
      </c>
      <c r="C73" s="878">
        <v>2</v>
      </c>
      <c r="D73" s="879">
        <v>10</v>
      </c>
      <c r="E73" s="883">
        <v>1118.8</v>
      </c>
      <c r="F73" s="878">
        <v>111880</v>
      </c>
      <c r="G73" s="878">
        <v>16782</v>
      </c>
      <c r="H73" s="884"/>
      <c r="K73" s="840">
        <v>2</v>
      </c>
      <c r="L73" s="841" t="s">
        <v>50</v>
      </c>
      <c r="M73" s="880">
        <v>2</v>
      </c>
      <c r="N73" s="881">
        <v>9.9</v>
      </c>
      <c r="O73" s="885">
        <v>2339.89</v>
      </c>
      <c r="P73" s="882">
        <v>472658</v>
      </c>
      <c r="Q73" s="880">
        <v>65517</v>
      </c>
      <c r="R73" s="880">
        <v>10</v>
      </c>
    </row>
    <row r="74" spans="1:18" s="861" customFormat="1" ht="15" customHeight="1">
      <c r="A74" s="840">
        <v>3</v>
      </c>
      <c r="B74" s="841" t="s">
        <v>51</v>
      </c>
      <c r="C74" s="878">
        <v>1</v>
      </c>
      <c r="D74" s="879">
        <v>5</v>
      </c>
      <c r="E74" s="886" t="s">
        <v>52</v>
      </c>
      <c r="F74" s="887"/>
      <c r="G74" s="887"/>
      <c r="H74" s="888"/>
      <c r="K74" s="840">
        <v>3</v>
      </c>
      <c r="L74" s="841" t="s">
        <v>51</v>
      </c>
      <c r="M74" s="880">
        <v>1</v>
      </c>
      <c r="N74" s="881">
        <v>5</v>
      </c>
      <c r="O74" s="880"/>
      <c r="P74" s="889"/>
      <c r="Q74" s="880"/>
      <c r="R74" s="880"/>
    </row>
    <row r="75" spans="1:18" ht="15" customHeight="1">
      <c r="A75" s="846"/>
      <c r="B75" s="847" t="s">
        <v>19</v>
      </c>
      <c r="C75" s="849">
        <f aca="true" t="shared" si="9" ref="C75:H75">SUM(C72:C74)</f>
        <v>22</v>
      </c>
      <c r="D75" s="849">
        <f t="shared" si="9"/>
        <v>651.0461</v>
      </c>
      <c r="E75" s="890">
        <f t="shared" si="9"/>
        <v>181210.05</v>
      </c>
      <c r="F75" s="850">
        <f t="shared" si="9"/>
        <v>3713708</v>
      </c>
      <c r="G75" s="850">
        <f t="shared" si="9"/>
        <v>3708107</v>
      </c>
      <c r="H75" s="849">
        <f t="shared" si="9"/>
        <v>756</v>
      </c>
      <c r="K75" s="846"/>
      <c r="L75" s="847" t="s">
        <v>19</v>
      </c>
      <c r="M75" s="849">
        <f aca="true" t="shared" si="10" ref="M75:R75">SUM(M72:M74)</f>
        <v>17</v>
      </c>
      <c r="N75" s="849">
        <f t="shared" si="10"/>
        <v>412.6961</v>
      </c>
      <c r="O75" s="850">
        <f t="shared" si="10"/>
        <v>110403.37</v>
      </c>
      <c r="P75" s="850">
        <f t="shared" si="10"/>
        <v>4993985</v>
      </c>
      <c r="Q75" s="850">
        <f t="shared" si="10"/>
        <v>3631612</v>
      </c>
      <c r="R75" s="849">
        <f t="shared" si="10"/>
        <v>28</v>
      </c>
    </row>
    <row r="76" spans="1:18" ht="15" customHeight="1">
      <c r="A76" s="826"/>
      <c r="B76" s="827"/>
      <c r="C76" s="807"/>
      <c r="D76" s="857"/>
      <c r="E76" s="809"/>
      <c r="F76" s="809"/>
      <c r="G76" s="809"/>
      <c r="H76" s="829"/>
      <c r="K76" s="826"/>
      <c r="L76" s="827"/>
      <c r="M76" s="807"/>
      <c r="N76" s="857"/>
      <c r="O76" s="809"/>
      <c r="P76" s="809"/>
      <c r="Q76" s="809"/>
      <c r="R76" s="829"/>
    </row>
    <row r="77" spans="1:18" ht="22.5" customHeight="1">
      <c r="A77" s="826"/>
      <c r="B77" s="827"/>
      <c r="C77" s="807"/>
      <c r="D77" s="828" t="s">
        <v>54</v>
      </c>
      <c r="E77" s="809"/>
      <c r="F77" s="809"/>
      <c r="G77" s="809"/>
      <c r="H77" s="829"/>
      <c r="K77" s="826"/>
      <c r="L77" s="827"/>
      <c r="M77" s="807"/>
      <c r="N77" s="828" t="s">
        <v>54</v>
      </c>
      <c r="O77" s="809"/>
      <c r="P77" s="809"/>
      <c r="Q77" s="809"/>
      <c r="R77" s="829"/>
    </row>
    <row r="78" spans="1:18" ht="15" customHeight="1">
      <c r="A78" s="1125" t="s">
        <v>4</v>
      </c>
      <c r="B78" s="830" t="s">
        <v>5</v>
      </c>
      <c r="C78" s="830" t="s">
        <v>6</v>
      </c>
      <c r="D78" s="830" t="s">
        <v>7</v>
      </c>
      <c r="E78" s="830" t="s">
        <v>8</v>
      </c>
      <c r="F78" s="830" t="s">
        <v>9</v>
      </c>
      <c r="G78" s="830" t="s">
        <v>10</v>
      </c>
      <c r="H78" s="830" t="s">
        <v>11</v>
      </c>
      <c r="K78" s="1124" t="s">
        <v>4</v>
      </c>
      <c r="L78" s="831" t="s">
        <v>5</v>
      </c>
      <c r="M78" s="831" t="s">
        <v>6</v>
      </c>
      <c r="N78" s="831" t="s">
        <v>7</v>
      </c>
      <c r="O78" s="831" t="s">
        <v>8</v>
      </c>
      <c r="P78" s="831" t="s">
        <v>9</v>
      </c>
      <c r="Q78" s="831" t="s">
        <v>10</v>
      </c>
      <c r="R78" s="831" t="s">
        <v>11</v>
      </c>
    </row>
    <row r="79" spans="1:18" ht="15" customHeight="1">
      <c r="A79" s="1125"/>
      <c r="B79" s="832"/>
      <c r="C79" s="833"/>
      <c r="D79" s="834" t="s">
        <v>12</v>
      </c>
      <c r="E79" s="834" t="s">
        <v>13</v>
      </c>
      <c r="F79" s="835" t="s">
        <v>14</v>
      </c>
      <c r="G79" s="835" t="s">
        <v>14</v>
      </c>
      <c r="H79" s="834" t="s">
        <v>15</v>
      </c>
      <c r="K79" s="1124"/>
      <c r="L79" s="836"/>
      <c r="M79" s="837"/>
      <c r="N79" s="838" t="s">
        <v>12</v>
      </c>
      <c r="O79" s="838" t="s">
        <v>13</v>
      </c>
      <c r="P79" s="839" t="s">
        <v>391</v>
      </c>
      <c r="Q79" s="839" t="s">
        <v>391</v>
      </c>
      <c r="R79" s="838" t="s">
        <v>15</v>
      </c>
    </row>
    <row r="80" spans="1:18" ht="15" customHeight="1">
      <c r="A80" s="840">
        <v>1</v>
      </c>
      <c r="B80" s="841" t="s">
        <v>55</v>
      </c>
      <c r="C80" s="891">
        <v>1</v>
      </c>
      <c r="D80" s="892">
        <v>1200</v>
      </c>
      <c r="E80" s="891">
        <v>4953200</v>
      </c>
      <c r="F80" s="893">
        <v>8183076000</v>
      </c>
      <c r="G80" s="893">
        <f>2996204611-12028877-69867575</f>
        <v>2914308159</v>
      </c>
      <c r="H80" s="891">
        <v>1521</v>
      </c>
      <c r="K80" s="840">
        <v>1</v>
      </c>
      <c r="L80" s="841" t="s">
        <v>26</v>
      </c>
      <c r="M80" s="891">
        <v>2</v>
      </c>
      <c r="N80" s="841">
        <v>33.88</v>
      </c>
      <c r="O80" s="891">
        <v>2884</v>
      </c>
      <c r="P80" s="820">
        <v>2884000</v>
      </c>
      <c r="Q80" s="893">
        <v>705872</v>
      </c>
      <c r="R80" s="891">
        <v>50</v>
      </c>
    </row>
    <row r="81" spans="1:18" ht="15" customHeight="1">
      <c r="A81" s="840">
        <v>2</v>
      </c>
      <c r="B81" s="841" t="s">
        <v>56</v>
      </c>
      <c r="C81" s="891"/>
      <c r="D81" s="892"/>
      <c r="E81" s="891">
        <v>92152</v>
      </c>
      <c r="F81" s="893"/>
      <c r="G81" s="893"/>
      <c r="H81" s="891"/>
      <c r="K81" s="840">
        <v>2</v>
      </c>
      <c r="L81" s="841" t="s">
        <v>25</v>
      </c>
      <c r="M81" s="891">
        <v>24</v>
      </c>
      <c r="N81" s="841">
        <v>2828.8502</v>
      </c>
      <c r="O81" s="891">
        <v>335035</v>
      </c>
      <c r="P81" s="893">
        <v>335035000</v>
      </c>
      <c r="Q81" s="893">
        <v>58826691</v>
      </c>
      <c r="R81" s="891">
        <v>568</v>
      </c>
    </row>
    <row r="82" spans="1:18" ht="15" customHeight="1">
      <c r="A82" s="840">
        <v>3</v>
      </c>
      <c r="B82" s="841" t="s">
        <v>57</v>
      </c>
      <c r="C82" s="891"/>
      <c r="D82" s="892"/>
      <c r="E82" s="891">
        <v>1114048</v>
      </c>
      <c r="F82" s="893"/>
      <c r="G82" s="893"/>
      <c r="H82" s="891"/>
      <c r="K82" s="840">
        <v>3</v>
      </c>
      <c r="L82" s="841" t="s">
        <v>47</v>
      </c>
      <c r="M82" s="891">
        <v>20</v>
      </c>
      <c r="N82" s="841">
        <v>391.1086</v>
      </c>
      <c r="O82" s="891">
        <v>208273</v>
      </c>
      <c r="P82" s="893">
        <v>62481900</v>
      </c>
      <c r="Q82" s="893">
        <v>7664624</v>
      </c>
      <c r="R82" s="891">
        <v>203</v>
      </c>
    </row>
    <row r="83" spans="1:18" ht="15" customHeight="1">
      <c r="A83" s="840">
        <v>4</v>
      </c>
      <c r="B83" s="841" t="s">
        <v>58</v>
      </c>
      <c r="C83" s="891"/>
      <c r="D83" s="894"/>
      <c r="E83" s="893">
        <v>68511.36</v>
      </c>
      <c r="F83" s="893">
        <f>E83*21486</f>
        <v>1472035080.96</v>
      </c>
      <c r="G83" s="893">
        <v>69867575</v>
      </c>
      <c r="H83" s="891"/>
      <c r="K83" s="840">
        <v>4</v>
      </c>
      <c r="L83" s="841" t="s">
        <v>21</v>
      </c>
      <c r="M83" s="891">
        <v>594</v>
      </c>
      <c r="N83" s="841">
        <v>3173.44</v>
      </c>
      <c r="O83" s="893">
        <v>590300</v>
      </c>
      <c r="P83" s="893">
        <v>177090000</v>
      </c>
      <c r="Q83" s="893">
        <v>47242466</v>
      </c>
      <c r="R83" s="891">
        <v>2555</v>
      </c>
    </row>
    <row r="84" spans="1:18" ht="15" customHeight="1">
      <c r="A84" s="840">
        <v>5</v>
      </c>
      <c r="B84" s="841" t="s">
        <v>59</v>
      </c>
      <c r="C84" s="891"/>
      <c r="D84" s="894"/>
      <c r="E84" s="892">
        <v>407.168</v>
      </c>
      <c r="F84" s="893">
        <f>E84*212451</f>
        <v>86503248.768</v>
      </c>
      <c r="G84" s="893">
        <v>12028877</v>
      </c>
      <c r="H84" s="891"/>
      <c r="K84" s="840">
        <v>5</v>
      </c>
      <c r="L84" s="841" t="s">
        <v>31</v>
      </c>
      <c r="M84" s="891">
        <v>4</v>
      </c>
      <c r="N84" s="841">
        <v>18.9</v>
      </c>
      <c r="O84" s="892">
        <v>1835</v>
      </c>
      <c r="P84" s="893">
        <v>660600</v>
      </c>
      <c r="Q84" s="893">
        <v>79846</v>
      </c>
      <c r="R84" s="891">
        <v>38</v>
      </c>
    </row>
    <row r="85" spans="1:18" ht="15" customHeight="1">
      <c r="A85" s="840">
        <v>6</v>
      </c>
      <c r="B85" s="841" t="s">
        <v>31</v>
      </c>
      <c r="C85" s="891">
        <v>4</v>
      </c>
      <c r="D85" s="892">
        <v>20</v>
      </c>
      <c r="E85" s="891">
        <v>1501</v>
      </c>
      <c r="F85" s="893">
        <v>750500</v>
      </c>
      <c r="G85" s="893">
        <v>19000</v>
      </c>
      <c r="H85" s="891">
        <v>34</v>
      </c>
      <c r="K85" s="840">
        <v>6</v>
      </c>
      <c r="L85" s="895" t="s">
        <v>50</v>
      </c>
      <c r="M85" s="891">
        <v>5</v>
      </c>
      <c r="N85" s="841">
        <v>22.14</v>
      </c>
      <c r="O85" s="891">
        <v>101575</v>
      </c>
      <c r="P85" s="893">
        <v>20315000</v>
      </c>
      <c r="Q85" s="893">
        <v>1561205</v>
      </c>
      <c r="R85" s="891">
        <v>47</v>
      </c>
    </row>
    <row r="86" spans="1:18" ht="15" customHeight="1">
      <c r="A86" s="840">
        <v>7</v>
      </c>
      <c r="B86" s="841" t="s">
        <v>47</v>
      </c>
      <c r="C86" s="891">
        <v>17</v>
      </c>
      <c r="D86" s="892">
        <v>537.3525</v>
      </c>
      <c r="E86" s="891">
        <v>106884</v>
      </c>
      <c r="F86" s="893">
        <v>17101440</v>
      </c>
      <c r="G86" s="893">
        <v>5662261</v>
      </c>
      <c r="H86" s="891">
        <v>68</v>
      </c>
      <c r="K86" s="840">
        <v>7</v>
      </c>
      <c r="L86" s="841" t="s">
        <v>60</v>
      </c>
      <c r="M86" s="891">
        <v>3</v>
      </c>
      <c r="N86" s="841">
        <v>154</v>
      </c>
      <c r="O86" s="891">
        <v>0</v>
      </c>
      <c r="P86" s="893">
        <v>0</v>
      </c>
      <c r="Q86" s="893">
        <v>8115</v>
      </c>
      <c r="R86" s="891">
        <v>5</v>
      </c>
    </row>
    <row r="87" spans="1:18" ht="15" customHeight="1">
      <c r="A87" s="840">
        <v>8</v>
      </c>
      <c r="B87" s="841" t="s">
        <v>21</v>
      </c>
      <c r="C87" s="868">
        <v>423</v>
      </c>
      <c r="D87" s="869">
        <v>2396.0545</v>
      </c>
      <c r="E87" s="891">
        <v>173751</v>
      </c>
      <c r="F87" s="893">
        <v>34750200</v>
      </c>
      <c r="G87" s="845">
        <v>14218321</v>
      </c>
      <c r="H87" s="868">
        <v>941</v>
      </c>
      <c r="K87" s="840">
        <v>8</v>
      </c>
      <c r="L87" s="841" t="s">
        <v>55</v>
      </c>
      <c r="M87" s="868">
        <v>1</v>
      </c>
      <c r="N87" s="841">
        <v>1200</v>
      </c>
      <c r="O87" s="891">
        <v>6149424</v>
      </c>
      <c r="P87" s="893">
        <v>13528732800</v>
      </c>
      <c r="Q87" s="845">
        <v>6935831262</v>
      </c>
      <c r="R87" s="868">
        <v>2962</v>
      </c>
    </row>
    <row r="88" spans="1:18" ht="15" customHeight="1">
      <c r="A88" s="840"/>
      <c r="B88" s="841"/>
      <c r="C88" s="868"/>
      <c r="D88" s="869"/>
      <c r="E88" s="891"/>
      <c r="F88" s="893"/>
      <c r="G88" s="845"/>
      <c r="H88" s="868"/>
      <c r="K88" s="840">
        <v>9</v>
      </c>
      <c r="L88" s="841" t="s">
        <v>91</v>
      </c>
      <c r="M88" s="868">
        <v>0</v>
      </c>
      <c r="N88" s="841">
        <v>0</v>
      </c>
      <c r="O88" s="896">
        <v>110170</v>
      </c>
      <c r="P88" s="897"/>
      <c r="Q88" s="845">
        <v>0</v>
      </c>
      <c r="R88" s="868">
        <v>0</v>
      </c>
    </row>
    <row r="89" spans="1:18" ht="15" customHeight="1">
      <c r="A89" s="840"/>
      <c r="B89" s="841"/>
      <c r="C89" s="868"/>
      <c r="D89" s="869"/>
      <c r="E89" s="891"/>
      <c r="F89" s="893"/>
      <c r="G89" s="845"/>
      <c r="H89" s="868"/>
      <c r="K89" s="840">
        <v>10</v>
      </c>
      <c r="L89" s="841" t="s">
        <v>57</v>
      </c>
      <c r="M89" s="868">
        <v>0</v>
      </c>
      <c r="N89" s="841">
        <v>0</v>
      </c>
      <c r="O89" s="898">
        <v>1331922</v>
      </c>
      <c r="P89" s="893"/>
      <c r="Q89" s="845">
        <v>0</v>
      </c>
      <c r="R89" s="868">
        <v>0</v>
      </c>
    </row>
    <row r="90" spans="1:18" ht="15" customHeight="1">
      <c r="A90" s="840"/>
      <c r="B90" s="841"/>
      <c r="C90" s="868"/>
      <c r="D90" s="869"/>
      <c r="E90" s="891"/>
      <c r="F90" s="893"/>
      <c r="G90" s="845"/>
      <c r="H90" s="868"/>
      <c r="K90" s="840">
        <v>11</v>
      </c>
      <c r="L90" s="841" t="s">
        <v>263</v>
      </c>
      <c r="M90" s="899">
        <v>0</v>
      </c>
      <c r="N90" s="900">
        <v>0</v>
      </c>
      <c r="O90" s="898">
        <v>123</v>
      </c>
      <c r="P90" s="898">
        <v>6678634725</v>
      </c>
      <c r="Q90" s="898">
        <v>367736258</v>
      </c>
      <c r="R90" s="901">
        <v>0</v>
      </c>
    </row>
    <row r="91" spans="1:18" ht="15" customHeight="1">
      <c r="A91" s="840"/>
      <c r="B91" s="841"/>
      <c r="C91" s="868"/>
      <c r="D91" s="869"/>
      <c r="E91" s="891"/>
      <c r="F91" s="893"/>
      <c r="G91" s="845"/>
      <c r="H91" s="868"/>
      <c r="K91" s="840">
        <v>12</v>
      </c>
      <c r="L91" s="841" t="s">
        <v>59</v>
      </c>
      <c r="M91" s="899">
        <v>0</v>
      </c>
      <c r="N91" s="900">
        <v>0</v>
      </c>
      <c r="O91" s="902">
        <v>269</v>
      </c>
      <c r="P91" s="898">
        <v>59830980</v>
      </c>
      <c r="Q91" s="898">
        <v>3891214</v>
      </c>
      <c r="R91" s="901">
        <v>0</v>
      </c>
    </row>
    <row r="92" spans="1:18" ht="15" customHeight="1">
      <c r="A92" s="840">
        <v>9</v>
      </c>
      <c r="B92" s="841" t="s">
        <v>17</v>
      </c>
      <c r="C92" s="868"/>
      <c r="D92" s="869"/>
      <c r="E92" s="891">
        <v>24855</v>
      </c>
      <c r="F92" s="893">
        <v>3728250</v>
      </c>
      <c r="G92" s="845"/>
      <c r="H92" s="868"/>
      <c r="K92" s="840">
        <v>13</v>
      </c>
      <c r="L92" s="841" t="s">
        <v>62</v>
      </c>
      <c r="M92" s="868">
        <v>1</v>
      </c>
      <c r="N92" s="841">
        <v>4.27</v>
      </c>
      <c r="O92" s="891">
        <v>714</v>
      </c>
      <c r="P92" s="893">
        <v>714000</v>
      </c>
      <c r="Q92" s="845">
        <v>56810</v>
      </c>
      <c r="R92" s="868">
        <v>10</v>
      </c>
    </row>
    <row r="93" spans="1:18" ht="15" customHeight="1">
      <c r="A93" s="840">
        <v>10</v>
      </c>
      <c r="B93" s="841" t="s">
        <v>60</v>
      </c>
      <c r="C93" s="891">
        <v>2</v>
      </c>
      <c r="D93" s="892">
        <v>10</v>
      </c>
      <c r="E93" s="891">
        <v>0</v>
      </c>
      <c r="F93" s="893"/>
      <c r="G93" s="893">
        <v>7300</v>
      </c>
      <c r="H93" s="891"/>
      <c r="K93" s="840">
        <v>14</v>
      </c>
      <c r="L93" s="841" t="s">
        <v>36</v>
      </c>
      <c r="M93" s="891">
        <v>1</v>
      </c>
      <c r="N93" s="841">
        <v>5</v>
      </c>
      <c r="O93" s="891">
        <v>0</v>
      </c>
      <c r="P93" s="893">
        <v>0</v>
      </c>
      <c r="Q93" s="893">
        <v>0</v>
      </c>
      <c r="R93" s="891">
        <v>0</v>
      </c>
    </row>
    <row r="94" spans="1:18" ht="15" customHeight="1">
      <c r="A94" s="840">
        <v>11</v>
      </c>
      <c r="B94" s="841" t="s">
        <v>26</v>
      </c>
      <c r="C94" s="891">
        <v>5</v>
      </c>
      <c r="D94" s="892">
        <v>88.75</v>
      </c>
      <c r="E94" s="893">
        <v>1873</v>
      </c>
      <c r="F94" s="893">
        <v>1873000</v>
      </c>
      <c r="G94" s="893">
        <v>119552</v>
      </c>
      <c r="H94" s="891">
        <v>43</v>
      </c>
      <c r="K94" s="840">
        <v>15</v>
      </c>
      <c r="L94" s="841" t="s">
        <v>33</v>
      </c>
      <c r="M94" s="891">
        <v>2</v>
      </c>
      <c r="N94" s="841">
        <v>1989.2844</v>
      </c>
      <c r="O94" s="893">
        <v>429495</v>
      </c>
      <c r="P94" s="893">
        <v>396423885</v>
      </c>
      <c r="Q94" s="893">
        <v>43295955</v>
      </c>
      <c r="R94" s="891">
        <v>564</v>
      </c>
    </row>
    <row r="95" spans="1:18" ht="38.25" customHeight="1">
      <c r="A95" s="846"/>
      <c r="B95" s="847" t="s">
        <v>19</v>
      </c>
      <c r="C95" s="849">
        <f>SUM(C80:C94)</f>
        <v>452</v>
      </c>
      <c r="D95" s="849">
        <f>SUM(D80:D94)</f>
        <v>4252.157</v>
      </c>
      <c r="E95" s="850">
        <f>SUM(E80:E94)-E83+(E83/1000)</f>
        <v>6468739.6793599995</v>
      </c>
      <c r="F95" s="850">
        <f>SUM(F80:F94)</f>
        <v>9799817719.727999</v>
      </c>
      <c r="G95" s="850">
        <f>SUM(G80:G94)</f>
        <v>3016231045</v>
      </c>
      <c r="H95" s="849">
        <f>SUM(H80:H94)</f>
        <v>2607</v>
      </c>
      <c r="K95" s="846"/>
      <c r="L95" s="847" t="s">
        <v>19</v>
      </c>
      <c r="M95" s="849">
        <f>SUM(M80:M94)</f>
        <v>657</v>
      </c>
      <c r="N95" s="864">
        <f>SUM(N80:N94)</f>
        <v>9820.8732</v>
      </c>
      <c r="O95" s="850">
        <f>O80+O81+O82+O83+O84+O85+O86+O87+O88+O89+O90+O91+O92+O93+O94</f>
        <v>9262019</v>
      </c>
      <c r="P95" s="850">
        <f>SUM(P80:P94)</f>
        <v>21262802890</v>
      </c>
      <c r="Q95" s="850">
        <f>SUM(Q80:Q94)</f>
        <v>7466900318</v>
      </c>
      <c r="R95" s="849">
        <f>SUM(R80:R94)</f>
        <v>7002</v>
      </c>
    </row>
    <row r="96" spans="1:18" ht="15" customHeight="1">
      <c r="A96" s="826"/>
      <c r="B96" s="827"/>
      <c r="C96" s="807"/>
      <c r="D96" s="857"/>
      <c r="E96" s="809"/>
      <c r="F96" s="809"/>
      <c r="G96" s="809"/>
      <c r="H96" s="829"/>
      <c r="K96" s="826"/>
      <c r="L96" s="827"/>
      <c r="M96" s="807"/>
      <c r="N96" s="857"/>
      <c r="O96" s="809"/>
      <c r="P96" s="809"/>
      <c r="Q96" s="809"/>
      <c r="R96" s="829"/>
    </row>
    <row r="97" spans="1:18" ht="15" customHeight="1">
      <c r="A97" s="826"/>
      <c r="B97" s="827"/>
      <c r="C97" s="807"/>
      <c r="D97" s="828" t="s">
        <v>63</v>
      </c>
      <c r="E97" s="809"/>
      <c r="F97" s="809"/>
      <c r="G97" s="809"/>
      <c r="H97" s="829"/>
      <c r="K97" s="826"/>
      <c r="L97" s="827"/>
      <c r="M97" s="807"/>
      <c r="N97" s="828" t="s">
        <v>63</v>
      </c>
      <c r="O97" s="809"/>
      <c r="P97" s="809"/>
      <c r="Q97" s="809"/>
      <c r="R97" s="829"/>
    </row>
    <row r="98" spans="1:18" ht="15" customHeight="1">
      <c r="A98" s="1125" t="s">
        <v>4</v>
      </c>
      <c r="B98" s="830" t="s">
        <v>5</v>
      </c>
      <c r="C98" s="830" t="s">
        <v>6</v>
      </c>
      <c r="D98" s="830" t="s">
        <v>7</v>
      </c>
      <c r="E98" s="830" t="s">
        <v>8</v>
      </c>
      <c r="F98" s="830" t="s">
        <v>9</v>
      </c>
      <c r="G98" s="830" t="s">
        <v>10</v>
      </c>
      <c r="H98" s="830" t="s">
        <v>11</v>
      </c>
      <c r="K98" s="1124" t="s">
        <v>4</v>
      </c>
      <c r="L98" s="831" t="s">
        <v>5</v>
      </c>
      <c r="M98" s="831" t="s">
        <v>6</v>
      </c>
      <c r="N98" s="831" t="s">
        <v>7</v>
      </c>
      <c r="O98" s="831" t="s">
        <v>8</v>
      </c>
      <c r="P98" s="831" t="s">
        <v>9</v>
      </c>
      <c r="Q98" s="831" t="s">
        <v>10</v>
      </c>
      <c r="R98" s="831" t="s">
        <v>11</v>
      </c>
    </row>
    <row r="99" spans="1:18" s="903" customFormat="1" ht="15" customHeight="1">
      <c r="A99" s="1125"/>
      <c r="B99" s="832"/>
      <c r="C99" s="833"/>
      <c r="D99" s="834" t="s">
        <v>12</v>
      </c>
      <c r="E99" s="834" t="s">
        <v>13</v>
      </c>
      <c r="F99" s="835" t="s">
        <v>14</v>
      </c>
      <c r="G99" s="835" t="s">
        <v>14</v>
      </c>
      <c r="H99" s="834" t="s">
        <v>15</v>
      </c>
      <c r="K99" s="1124"/>
      <c r="L99" s="836"/>
      <c r="M99" s="837"/>
      <c r="N99" s="838" t="s">
        <v>12</v>
      </c>
      <c r="O99" s="838" t="s">
        <v>13</v>
      </c>
      <c r="P99" s="839" t="s">
        <v>391</v>
      </c>
      <c r="Q99" s="839" t="s">
        <v>391</v>
      </c>
      <c r="R99" s="838" t="s">
        <v>15</v>
      </c>
    </row>
    <row r="100" spans="1:18" ht="15" customHeight="1">
      <c r="A100" s="904">
        <v>1</v>
      </c>
      <c r="B100" s="841" t="s">
        <v>47</v>
      </c>
      <c r="C100" s="792">
        <v>1</v>
      </c>
      <c r="D100" s="859">
        <v>4.5</v>
      </c>
      <c r="E100" s="821">
        <v>0</v>
      </c>
      <c r="F100" s="821">
        <v>0</v>
      </c>
      <c r="G100" s="821">
        <v>40000</v>
      </c>
      <c r="H100" s="792">
        <v>0</v>
      </c>
      <c r="K100" s="904">
        <v>1</v>
      </c>
      <c r="L100" s="841" t="s">
        <v>47</v>
      </c>
      <c r="M100" s="792">
        <v>3</v>
      </c>
      <c r="N100" s="859">
        <v>14.06</v>
      </c>
      <c r="O100" s="821">
        <v>21610</v>
      </c>
      <c r="P100" s="821">
        <v>5640210</v>
      </c>
      <c r="Q100" s="821">
        <v>555000</v>
      </c>
      <c r="R100" s="792">
        <v>9</v>
      </c>
    </row>
    <row r="101" spans="1:18" ht="15" customHeight="1">
      <c r="A101" s="840">
        <v>2</v>
      </c>
      <c r="B101" s="841" t="s">
        <v>25</v>
      </c>
      <c r="C101" s="792">
        <v>4</v>
      </c>
      <c r="D101" s="859">
        <v>187.42</v>
      </c>
      <c r="E101" s="821">
        <v>8561</v>
      </c>
      <c r="F101" s="821">
        <v>856100</v>
      </c>
      <c r="G101" s="821">
        <v>386265</v>
      </c>
      <c r="H101" s="792">
        <v>15</v>
      </c>
      <c r="K101" s="840">
        <v>2</v>
      </c>
      <c r="L101" s="841" t="s">
        <v>25</v>
      </c>
      <c r="M101" s="792">
        <v>5</v>
      </c>
      <c r="N101" s="859">
        <v>192.1525</v>
      </c>
      <c r="O101" s="821">
        <v>32102</v>
      </c>
      <c r="P101" s="821">
        <v>9470090</v>
      </c>
      <c r="Q101" s="821">
        <v>4393000</v>
      </c>
      <c r="R101" s="792">
        <v>12</v>
      </c>
    </row>
    <row r="102" spans="1:18" ht="15" customHeight="1">
      <c r="A102" s="840">
        <v>3</v>
      </c>
      <c r="B102" s="841" t="s">
        <v>64</v>
      </c>
      <c r="C102" s="792">
        <v>1</v>
      </c>
      <c r="D102" s="859">
        <v>5</v>
      </c>
      <c r="E102" s="821">
        <v>690</v>
      </c>
      <c r="F102" s="821">
        <v>69000</v>
      </c>
      <c r="G102" s="821">
        <v>29000</v>
      </c>
      <c r="H102" s="792">
        <v>5</v>
      </c>
      <c r="K102" s="840">
        <v>3</v>
      </c>
      <c r="L102" s="841" t="s">
        <v>64</v>
      </c>
      <c r="M102" s="792">
        <v>1</v>
      </c>
      <c r="N102" s="859">
        <v>4</v>
      </c>
      <c r="O102" s="821">
        <v>3510</v>
      </c>
      <c r="P102" s="821">
        <v>877500</v>
      </c>
      <c r="Q102" s="821">
        <v>50000</v>
      </c>
      <c r="R102" s="792">
        <v>4</v>
      </c>
    </row>
    <row r="103" spans="1:18" ht="15" customHeight="1">
      <c r="A103" s="840">
        <v>4</v>
      </c>
      <c r="B103" s="841" t="s">
        <v>17</v>
      </c>
      <c r="C103" s="792">
        <v>2</v>
      </c>
      <c r="D103" s="859">
        <v>9.46</v>
      </c>
      <c r="E103" s="821">
        <v>30</v>
      </c>
      <c r="F103" s="821">
        <v>3000</v>
      </c>
      <c r="G103" s="821">
        <v>20496</v>
      </c>
      <c r="H103" s="792">
        <v>0</v>
      </c>
      <c r="K103" s="840">
        <v>4</v>
      </c>
      <c r="L103" s="841" t="s">
        <v>17</v>
      </c>
      <c r="M103" s="792">
        <v>2</v>
      </c>
      <c r="N103" s="859">
        <v>9.72</v>
      </c>
      <c r="O103" s="821"/>
      <c r="P103" s="821"/>
      <c r="Q103" s="821">
        <v>39000</v>
      </c>
      <c r="R103" s="792"/>
    </row>
    <row r="104" spans="1:18" ht="15" customHeight="1">
      <c r="A104" s="846"/>
      <c r="B104" s="847" t="s">
        <v>19</v>
      </c>
      <c r="C104" s="849">
        <f aca="true" t="shared" si="11" ref="C104:H104">SUM(C100:C103)</f>
        <v>8</v>
      </c>
      <c r="D104" s="849">
        <f t="shared" si="11"/>
        <v>206.38</v>
      </c>
      <c r="E104" s="850">
        <f t="shared" si="11"/>
        <v>9281</v>
      </c>
      <c r="F104" s="850">
        <f t="shared" si="11"/>
        <v>928100</v>
      </c>
      <c r="G104" s="850">
        <f t="shared" si="11"/>
        <v>475761</v>
      </c>
      <c r="H104" s="849">
        <f t="shared" si="11"/>
        <v>20</v>
      </c>
      <c r="K104" s="852"/>
      <c r="L104" s="853" t="s">
        <v>19</v>
      </c>
      <c r="M104" s="855">
        <f aca="true" t="shared" si="12" ref="M104:R104">SUM(M100:M103)</f>
        <v>11</v>
      </c>
      <c r="N104" s="855">
        <f t="shared" si="12"/>
        <v>219.9325</v>
      </c>
      <c r="O104" s="856">
        <f t="shared" si="12"/>
        <v>57222</v>
      </c>
      <c r="P104" s="856">
        <f t="shared" si="12"/>
        <v>15987800</v>
      </c>
      <c r="Q104" s="856">
        <f t="shared" si="12"/>
        <v>5037000</v>
      </c>
      <c r="R104" s="855">
        <f t="shared" si="12"/>
        <v>25</v>
      </c>
    </row>
    <row r="105" spans="1:18" ht="15" customHeight="1">
      <c r="A105" s="826"/>
      <c r="B105" s="827"/>
      <c r="C105" s="807"/>
      <c r="D105" s="857"/>
      <c r="E105" s="809"/>
      <c r="F105" s="809"/>
      <c r="G105" s="809"/>
      <c r="H105" s="829"/>
      <c r="K105" s="826"/>
      <c r="L105" s="827"/>
      <c r="M105" s="807"/>
      <c r="N105" s="857"/>
      <c r="O105" s="809"/>
      <c r="P105" s="809"/>
      <c r="Q105" s="809"/>
      <c r="R105" s="829"/>
    </row>
    <row r="106" spans="1:18" ht="15" customHeight="1">
      <c r="A106" s="826"/>
      <c r="B106" s="827"/>
      <c r="C106" s="807"/>
      <c r="D106" s="828" t="s">
        <v>65</v>
      </c>
      <c r="E106" s="809"/>
      <c r="F106" s="809"/>
      <c r="G106" s="809"/>
      <c r="H106" s="829"/>
      <c r="K106" s="826"/>
      <c r="L106" s="827"/>
      <c r="M106" s="807"/>
      <c r="N106" s="828" t="s">
        <v>65</v>
      </c>
      <c r="O106" s="809"/>
      <c r="P106" s="809"/>
      <c r="Q106" s="809"/>
      <c r="R106" s="829"/>
    </row>
    <row r="107" spans="1:18" ht="15" customHeight="1">
      <c r="A107" s="1125" t="s">
        <v>4</v>
      </c>
      <c r="B107" s="830" t="s">
        <v>5</v>
      </c>
      <c r="C107" s="830" t="s">
        <v>6</v>
      </c>
      <c r="D107" s="830" t="s">
        <v>7</v>
      </c>
      <c r="E107" s="830" t="s">
        <v>8</v>
      </c>
      <c r="F107" s="830" t="s">
        <v>9</v>
      </c>
      <c r="G107" s="830" t="s">
        <v>10</v>
      </c>
      <c r="H107" s="830" t="s">
        <v>11</v>
      </c>
      <c r="K107" s="1124" t="s">
        <v>4</v>
      </c>
      <c r="L107" s="831" t="s">
        <v>5</v>
      </c>
      <c r="M107" s="831" t="s">
        <v>6</v>
      </c>
      <c r="N107" s="831" t="s">
        <v>7</v>
      </c>
      <c r="O107" s="831" t="s">
        <v>8</v>
      </c>
      <c r="P107" s="831" t="s">
        <v>9</v>
      </c>
      <c r="Q107" s="831" t="s">
        <v>10</v>
      </c>
      <c r="R107" s="831" t="s">
        <v>11</v>
      </c>
    </row>
    <row r="108" spans="1:18" s="903" customFormat="1" ht="15" customHeight="1">
      <c r="A108" s="1125"/>
      <c r="B108" s="832"/>
      <c r="C108" s="833"/>
      <c r="D108" s="834" t="s">
        <v>12</v>
      </c>
      <c r="E108" s="834" t="s">
        <v>13</v>
      </c>
      <c r="F108" s="835" t="s">
        <v>14</v>
      </c>
      <c r="G108" s="835" t="s">
        <v>14</v>
      </c>
      <c r="H108" s="834" t="s">
        <v>15</v>
      </c>
      <c r="K108" s="1124"/>
      <c r="L108" s="836"/>
      <c r="M108" s="837"/>
      <c r="N108" s="838" t="s">
        <v>12</v>
      </c>
      <c r="O108" s="838" t="s">
        <v>13</v>
      </c>
      <c r="P108" s="839" t="s">
        <v>391</v>
      </c>
      <c r="Q108" s="839" t="s">
        <v>391</v>
      </c>
      <c r="R108" s="838" t="s">
        <v>15</v>
      </c>
    </row>
    <row r="109" spans="1:18" ht="15" customHeight="1">
      <c r="A109" s="840">
        <v>1</v>
      </c>
      <c r="B109" s="841" t="s">
        <v>66</v>
      </c>
      <c r="C109" s="792">
        <v>71</v>
      </c>
      <c r="D109" s="859">
        <v>4947.784</v>
      </c>
      <c r="E109" s="821">
        <v>1210500</v>
      </c>
      <c r="F109" s="821">
        <v>726300000</v>
      </c>
      <c r="G109" s="821">
        <v>28964065</v>
      </c>
      <c r="H109" s="792">
        <v>575</v>
      </c>
      <c r="K109" s="840">
        <v>1</v>
      </c>
      <c r="L109" s="841" t="s">
        <v>48</v>
      </c>
      <c r="M109" s="792">
        <v>18</v>
      </c>
      <c r="N109" s="859">
        <v>5379.45</v>
      </c>
      <c r="O109" s="821">
        <v>1430438</v>
      </c>
      <c r="P109" s="821">
        <v>679458050</v>
      </c>
      <c r="Q109" s="821">
        <v>254545877</v>
      </c>
      <c r="R109" s="792">
        <v>450</v>
      </c>
    </row>
    <row r="110" spans="1:18" ht="15" customHeight="1">
      <c r="A110" s="840">
        <v>2</v>
      </c>
      <c r="B110" s="841" t="s">
        <v>48</v>
      </c>
      <c r="C110" s="792">
        <v>14</v>
      </c>
      <c r="D110" s="859">
        <v>3827.592</v>
      </c>
      <c r="E110" s="821">
        <v>2057891</v>
      </c>
      <c r="F110" s="821">
        <v>617367300</v>
      </c>
      <c r="G110" s="821">
        <v>130775236</v>
      </c>
      <c r="H110" s="792">
        <v>650</v>
      </c>
      <c r="K110" s="840">
        <v>2</v>
      </c>
      <c r="L110" s="841" t="s">
        <v>46</v>
      </c>
      <c r="M110" s="792">
        <v>1</v>
      </c>
      <c r="N110" s="859">
        <v>531</v>
      </c>
      <c r="O110" s="821">
        <v>5697</v>
      </c>
      <c r="P110" s="821">
        <v>7406100</v>
      </c>
      <c r="Q110" s="821">
        <v>2000000</v>
      </c>
      <c r="R110" s="792">
        <v>3</v>
      </c>
    </row>
    <row r="111" spans="1:18" ht="15" customHeight="1">
      <c r="A111" s="904">
        <v>3</v>
      </c>
      <c r="B111" s="841" t="s">
        <v>43</v>
      </c>
      <c r="C111" s="792">
        <v>3</v>
      </c>
      <c r="D111" s="859">
        <v>3012.94</v>
      </c>
      <c r="E111" s="821">
        <v>127934</v>
      </c>
      <c r="F111" s="821">
        <v>153520800</v>
      </c>
      <c r="G111" s="821">
        <v>1769202</v>
      </c>
      <c r="H111" s="792">
        <v>120</v>
      </c>
      <c r="K111" s="904">
        <v>3</v>
      </c>
      <c r="L111" s="841" t="s">
        <v>43</v>
      </c>
      <c r="M111" s="792">
        <v>3</v>
      </c>
      <c r="N111" s="859">
        <v>3012.94</v>
      </c>
      <c r="O111" s="821">
        <v>2314912</v>
      </c>
      <c r="P111" s="821">
        <v>3472368000</v>
      </c>
      <c r="Q111" s="821">
        <v>128416717</v>
      </c>
      <c r="R111" s="792">
        <v>150</v>
      </c>
    </row>
    <row r="112" spans="1:18" ht="15" customHeight="1">
      <c r="A112" s="840">
        <v>4</v>
      </c>
      <c r="B112" s="841" t="s">
        <v>46</v>
      </c>
      <c r="C112" s="792">
        <v>1</v>
      </c>
      <c r="D112" s="859">
        <v>518</v>
      </c>
      <c r="E112" s="821">
        <v>12492</v>
      </c>
      <c r="F112" s="821">
        <v>12492000</v>
      </c>
      <c r="G112" s="821">
        <v>1247080</v>
      </c>
      <c r="H112" s="792">
        <v>5</v>
      </c>
      <c r="K112" s="840">
        <v>4</v>
      </c>
      <c r="L112" s="841" t="s">
        <v>66</v>
      </c>
      <c r="M112" s="792">
        <v>91</v>
      </c>
      <c r="N112" s="859">
        <v>5303.75</v>
      </c>
      <c r="O112" s="821">
        <v>2474187</v>
      </c>
      <c r="P112" s="821">
        <v>1360802850</v>
      </c>
      <c r="Q112" s="821">
        <v>85222825</v>
      </c>
      <c r="R112" s="792">
        <v>650</v>
      </c>
    </row>
    <row r="113" spans="1:18" ht="22.5" customHeight="1">
      <c r="A113" s="846">
        <v>5</v>
      </c>
      <c r="B113" s="841" t="s">
        <v>41</v>
      </c>
      <c r="C113" s="792"/>
      <c r="D113" s="859"/>
      <c r="E113" s="821"/>
      <c r="F113" s="821"/>
      <c r="G113" s="821">
        <v>26296609</v>
      </c>
      <c r="H113" s="792"/>
      <c r="K113" s="846"/>
      <c r="L113" s="853" t="s">
        <v>19</v>
      </c>
      <c r="M113" s="855">
        <f aca="true" t="shared" si="13" ref="M113:R113">SUM(M109:M112)</f>
        <v>113</v>
      </c>
      <c r="N113" s="855">
        <f t="shared" si="13"/>
        <v>14227.14</v>
      </c>
      <c r="O113" s="856">
        <f t="shared" si="13"/>
        <v>6225234</v>
      </c>
      <c r="P113" s="856">
        <f t="shared" si="13"/>
        <v>5520035000</v>
      </c>
      <c r="Q113" s="856">
        <f t="shared" si="13"/>
        <v>470185419</v>
      </c>
      <c r="R113" s="855">
        <f t="shared" si="13"/>
        <v>1253</v>
      </c>
    </row>
    <row r="114" spans="1:18" ht="15" customHeight="1">
      <c r="A114" s="846"/>
      <c r="B114" s="847" t="s">
        <v>19</v>
      </c>
      <c r="C114" s="849">
        <f>SUM(C109:C112)</f>
        <v>89</v>
      </c>
      <c r="D114" s="849">
        <f>SUM(D109:D112)</f>
        <v>12306.316</v>
      </c>
      <c r="E114" s="850">
        <f>SUM(E109:E112)</f>
        <v>3408817</v>
      </c>
      <c r="F114" s="850">
        <f>SUM(F109:F112)</f>
        <v>1509680100</v>
      </c>
      <c r="G114" s="850">
        <f>SUM(G109:G113)</f>
        <v>189052192</v>
      </c>
      <c r="H114" s="849">
        <f>SUM(H109:H112)</f>
        <v>1350</v>
      </c>
      <c r="K114" s="826"/>
      <c r="L114" s="827"/>
      <c r="M114" s="807"/>
      <c r="N114" s="857"/>
      <c r="O114" s="809"/>
      <c r="P114" s="809"/>
      <c r="Q114" s="809"/>
      <c r="R114" s="829"/>
    </row>
    <row r="115" spans="1:18" ht="15" customHeight="1">
      <c r="A115" s="826"/>
      <c r="B115" s="827"/>
      <c r="C115" s="807"/>
      <c r="D115" s="857"/>
      <c r="E115" s="809"/>
      <c r="F115" s="809"/>
      <c r="G115" s="809"/>
      <c r="H115" s="829"/>
      <c r="K115" s="826"/>
      <c r="L115" s="827"/>
      <c r="M115" s="807"/>
      <c r="N115" s="857"/>
      <c r="O115" s="809"/>
      <c r="P115" s="809"/>
      <c r="Q115" s="809"/>
      <c r="R115" s="829"/>
    </row>
    <row r="116" spans="1:18" ht="15" customHeight="1">
      <c r="A116" s="826"/>
      <c r="B116" s="827"/>
      <c r="C116" s="807"/>
      <c r="D116" s="857"/>
      <c r="E116" s="809"/>
      <c r="F116" s="809"/>
      <c r="G116" s="809"/>
      <c r="H116" s="829"/>
      <c r="K116" s="826"/>
      <c r="L116" s="827"/>
      <c r="M116" s="807"/>
      <c r="N116" s="828" t="s">
        <v>67</v>
      </c>
      <c r="O116" s="809"/>
      <c r="P116" s="809"/>
      <c r="Q116" s="809"/>
      <c r="R116" s="829"/>
    </row>
    <row r="117" spans="1:18" ht="15" customHeight="1">
      <c r="A117" s="826"/>
      <c r="B117" s="827"/>
      <c r="C117" s="807"/>
      <c r="D117" s="828" t="s">
        <v>67</v>
      </c>
      <c r="E117" s="809"/>
      <c r="F117" s="809"/>
      <c r="G117" s="809"/>
      <c r="H117" s="829"/>
      <c r="K117" s="1124" t="s">
        <v>4</v>
      </c>
      <c r="L117" s="831" t="s">
        <v>5</v>
      </c>
      <c r="M117" s="831" t="s">
        <v>6</v>
      </c>
      <c r="N117" s="831" t="s">
        <v>7</v>
      </c>
      <c r="O117" s="831" t="s">
        <v>8</v>
      </c>
      <c r="P117" s="831" t="s">
        <v>9</v>
      </c>
      <c r="Q117" s="831" t="s">
        <v>10</v>
      </c>
      <c r="R117" s="831" t="s">
        <v>11</v>
      </c>
    </row>
    <row r="118" spans="1:18" ht="15" customHeight="1">
      <c r="A118" s="1125" t="s">
        <v>4</v>
      </c>
      <c r="B118" s="830" t="s">
        <v>5</v>
      </c>
      <c r="C118" s="830" t="s">
        <v>6</v>
      </c>
      <c r="D118" s="830" t="s">
        <v>7</v>
      </c>
      <c r="E118" s="830" t="s">
        <v>8</v>
      </c>
      <c r="F118" s="830" t="s">
        <v>9</v>
      </c>
      <c r="G118" s="830" t="s">
        <v>10</v>
      </c>
      <c r="H118" s="830" t="s">
        <v>11</v>
      </c>
      <c r="K118" s="1124"/>
      <c r="L118" s="836"/>
      <c r="M118" s="837"/>
      <c r="N118" s="838" t="s">
        <v>12</v>
      </c>
      <c r="O118" s="838" t="s">
        <v>13</v>
      </c>
      <c r="P118" s="839" t="s">
        <v>391</v>
      </c>
      <c r="Q118" s="839" t="s">
        <v>391</v>
      </c>
      <c r="R118" s="838" t="s">
        <v>15</v>
      </c>
    </row>
    <row r="119" spans="1:18" s="903" customFormat="1" ht="15" customHeight="1">
      <c r="A119" s="1125"/>
      <c r="B119" s="832"/>
      <c r="C119" s="833"/>
      <c r="D119" s="834" t="s">
        <v>12</v>
      </c>
      <c r="E119" s="834" t="s">
        <v>13</v>
      </c>
      <c r="F119" s="835" t="s">
        <v>14</v>
      </c>
      <c r="G119" s="835" t="s">
        <v>14</v>
      </c>
      <c r="H119" s="834" t="s">
        <v>15</v>
      </c>
      <c r="K119" s="840">
        <v>1</v>
      </c>
      <c r="L119" s="841" t="s">
        <v>47</v>
      </c>
      <c r="M119" s="793">
        <v>2</v>
      </c>
      <c r="N119" s="905">
        <v>65.5</v>
      </c>
      <c r="O119" s="906">
        <v>30519</v>
      </c>
      <c r="P119" s="794">
        <v>7629750</v>
      </c>
      <c r="Q119" s="793">
        <v>725490</v>
      </c>
      <c r="R119" s="793">
        <v>14</v>
      </c>
    </row>
    <row r="120" spans="1:18" ht="15" customHeight="1">
      <c r="A120" s="840">
        <v>1</v>
      </c>
      <c r="B120" s="841" t="s">
        <v>47</v>
      </c>
      <c r="C120" s="792">
        <v>2</v>
      </c>
      <c r="D120" s="859">
        <v>65.5</v>
      </c>
      <c r="E120" s="821">
        <v>3867</v>
      </c>
      <c r="F120" s="821">
        <v>773400</v>
      </c>
      <c r="G120" s="821">
        <v>103257</v>
      </c>
      <c r="H120" s="792">
        <v>12</v>
      </c>
      <c r="K120" s="840">
        <v>2</v>
      </c>
      <c r="L120" s="907" t="s">
        <v>36</v>
      </c>
      <c r="M120" s="908">
        <v>1</v>
      </c>
      <c r="N120" s="909">
        <v>125</v>
      </c>
      <c r="O120" s="790">
        <v>98869</v>
      </c>
      <c r="P120" s="790">
        <v>84038650</v>
      </c>
      <c r="Q120" s="790">
        <v>8900000</v>
      </c>
      <c r="R120" s="908">
        <v>142</v>
      </c>
    </row>
    <row r="121" spans="1:18" ht="15" customHeight="1">
      <c r="A121" s="840">
        <v>2</v>
      </c>
      <c r="B121" s="841" t="s">
        <v>36</v>
      </c>
      <c r="C121" s="792">
        <v>1</v>
      </c>
      <c r="D121" s="859">
        <v>259</v>
      </c>
      <c r="E121" s="821">
        <v>77288</v>
      </c>
      <c r="F121" s="821">
        <v>30915200</v>
      </c>
      <c r="G121" s="821">
        <v>2158528</v>
      </c>
      <c r="H121" s="792">
        <v>126</v>
      </c>
      <c r="K121" s="846">
        <v>3</v>
      </c>
      <c r="L121" s="907" t="s">
        <v>41</v>
      </c>
      <c r="M121" s="910"/>
      <c r="N121" s="911"/>
      <c r="O121" s="912"/>
      <c r="P121" s="912"/>
      <c r="Q121" s="912"/>
      <c r="R121" s="913"/>
    </row>
    <row r="122" spans="1:18" ht="15" customHeight="1">
      <c r="A122" s="846">
        <v>3</v>
      </c>
      <c r="B122" s="841" t="s">
        <v>41</v>
      </c>
      <c r="C122" s="792"/>
      <c r="D122" s="859"/>
      <c r="E122" s="821"/>
      <c r="F122" s="821"/>
      <c r="G122" s="821">
        <v>26650</v>
      </c>
      <c r="H122" s="792"/>
      <c r="K122" s="852"/>
      <c r="L122" s="853" t="s">
        <v>19</v>
      </c>
      <c r="M122" s="914">
        <f aca="true" t="shared" si="14" ref="M122:R122">M119+M120+M121</f>
        <v>3</v>
      </c>
      <c r="N122" s="915">
        <f t="shared" si="14"/>
        <v>190.5</v>
      </c>
      <c r="O122" s="916">
        <f t="shared" si="14"/>
        <v>129388</v>
      </c>
      <c r="P122" s="916">
        <f t="shared" si="14"/>
        <v>91668400</v>
      </c>
      <c r="Q122" s="916">
        <f t="shared" si="14"/>
        <v>9625490</v>
      </c>
      <c r="R122" s="914">
        <f t="shared" si="14"/>
        <v>156</v>
      </c>
    </row>
    <row r="123" spans="1:18" ht="15" customHeight="1">
      <c r="A123" s="846"/>
      <c r="B123" s="847" t="s">
        <v>19</v>
      </c>
      <c r="C123" s="849">
        <f>SUM(C119:C121)</f>
        <v>3</v>
      </c>
      <c r="D123" s="864">
        <f>SUM(D119:D121)</f>
        <v>324.5</v>
      </c>
      <c r="E123" s="850">
        <f>SUM(E119:E121)</f>
        <v>81155</v>
      </c>
      <c r="F123" s="850">
        <f>SUM(F119:F121)</f>
        <v>31688600</v>
      </c>
      <c r="G123" s="850">
        <f>SUM(G120:G122)</f>
        <v>2288435</v>
      </c>
      <c r="H123" s="849">
        <f>SUM(H119:H121)</f>
        <v>138</v>
      </c>
      <c r="K123" s="826"/>
      <c r="L123" s="827"/>
      <c r="M123" s="807"/>
      <c r="N123" s="857"/>
      <c r="O123" s="809"/>
      <c r="P123" s="809"/>
      <c r="Q123" s="809"/>
      <c r="R123" s="829"/>
    </row>
    <row r="124" spans="1:18" ht="15" customHeight="1">
      <c r="A124" s="826"/>
      <c r="B124" s="827"/>
      <c r="C124" s="807"/>
      <c r="D124" s="857"/>
      <c r="E124" s="809"/>
      <c r="F124" s="809"/>
      <c r="G124" s="809"/>
      <c r="H124" s="829"/>
      <c r="K124" s="826"/>
      <c r="L124" s="827"/>
      <c r="M124" s="807"/>
      <c r="N124" s="828" t="s">
        <v>68</v>
      </c>
      <c r="O124" s="809"/>
      <c r="P124" s="809"/>
      <c r="Q124" s="809"/>
      <c r="R124" s="829"/>
    </row>
    <row r="125" spans="1:18" ht="24.75" customHeight="1">
      <c r="A125" s="826"/>
      <c r="B125" s="827"/>
      <c r="C125" s="807"/>
      <c r="D125" s="828" t="s">
        <v>68</v>
      </c>
      <c r="E125" s="809"/>
      <c r="F125" s="809"/>
      <c r="G125" s="809"/>
      <c r="H125" s="829"/>
      <c r="K125" s="1124" t="s">
        <v>4</v>
      </c>
      <c r="L125" s="831" t="s">
        <v>5</v>
      </c>
      <c r="M125" s="831" t="s">
        <v>6</v>
      </c>
      <c r="N125" s="831" t="s">
        <v>7</v>
      </c>
      <c r="O125" s="831" t="s">
        <v>8</v>
      </c>
      <c r="P125" s="831" t="s">
        <v>9</v>
      </c>
      <c r="Q125" s="831" t="s">
        <v>10</v>
      </c>
      <c r="R125" s="831" t="s">
        <v>11</v>
      </c>
    </row>
    <row r="126" spans="1:18" ht="15" customHeight="1">
      <c r="A126" s="1125" t="s">
        <v>4</v>
      </c>
      <c r="B126" s="830" t="s">
        <v>5</v>
      </c>
      <c r="C126" s="830" t="s">
        <v>6</v>
      </c>
      <c r="D126" s="830" t="s">
        <v>7</v>
      </c>
      <c r="E126" s="830" t="s">
        <v>8</v>
      </c>
      <c r="F126" s="830" t="s">
        <v>9</v>
      </c>
      <c r="G126" s="830" t="s">
        <v>10</v>
      </c>
      <c r="H126" s="830" t="s">
        <v>11</v>
      </c>
      <c r="K126" s="1124"/>
      <c r="L126" s="836"/>
      <c r="M126" s="837"/>
      <c r="N126" s="838" t="s">
        <v>12</v>
      </c>
      <c r="O126" s="838" t="s">
        <v>13</v>
      </c>
      <c r="P126" s="839" t="s">
        <v>391</v>
      </c>
      <c r="Q126" s="839" t="s">
        <v>391</v>
      </c>
      <c r="R126" s="838" t="s">
        <v>15</v>
      </c>
    </row>
    <row r="127" spans="1:18" s="903" customFormat="1" ht="15" customHeight="1">
      <c r="A127" s="1125"/>
      <c r="B127" s="832"/>
      <c r="C127" s="833"/>
      <c r="D127" s="834" t="s">
        <v>12</v>
      </c>
      <c r="E127" s="834" t="s">
        <v>13</v>
      </c>
      <c r="F127" s="835" t="s">
        <v>14</v>
      </c>
      <c r="G127" s="835" t="s">
        <v>14</v>
      </c>
      <c r="H127" s="834" t="s">
        <v>15</v>
      </c>
      <c r="K127" s="917">
        <v>1</v>
      </c>
      <c r="L127" s="918" t="s">
        <v>27</v>
      </c>
      <c r="M127" s="919">
        <v>2</v>
      </c>
      <c r="N127" s="918">
        <v>1359.492</v>
      </c>
      <c r="O127" s="920">
        <v>6096799</v>
      </c>
      <c r="P127" s="920">
        <v>1347392579</v>
      </c>
      <c r="Q127" s="921">
        <v>388520167</v>
      </c>
      <c r="R127" s="922">
        <v>163</v>
      </c>
    </row>
    <row r="128" spans="1:18" ht="15" customHeight="1">
      <c r="A128" s="904">
        <v>1</v>
      </c>
      <c r="B128" s="841" t="s">
        <v>47</v>
      </c>
      <c r="C128" s="1133">
        <v>19</v>
      </c>
      <c r="D128" s="1134">
        <v>479.3026</v>
      </c>
      <c r="E128" s="923">
        <v>164412</v>
      </c>
      <c r="F128" s="923">
        <v>29594160</v>
      </c>
      <c r="G128" s="924">
        <v>3307590</v>
      </c>
      <c r="H128" s="1133">
        <v>260</v>
      </c>
      <c r="K128" s="925">
        <v>2</v>
      </c>
      <c r="L128" s="918" t="s">
        <v>47</v>
      </c>
      <c r="M128" s="919">
        <v>3</v>
      </c>
      <c r="N128" s="926">
        <v>123.592</v>
      </c>
      <c r="O128" s="920">
        <v>453915</v>
      </c>
      <c r="P128" s="920">
        <v>127096200</v>
      </c>
      <c r="Q128" s="921">
        <v>4790356</v>
      </c>
      <c r="R128" s="922">
        <v>30</v>
      </c>
    </row>
    <row r="129" spans="1:18" s="861" customFormat="1" ht="15" customHeight="1">
      <c r="A129" s="840">
        <v>2</v>
      </c>
      <c r="B129" s="841" t="s">
        <v>50</v>
      </c>
      <c r="C129" s="1133"/>
      <c r="D129" s="1134"/>
      <c r="E129" s="923">
        <v>671604</v>
      </c>
      <c r="F129" s="923">
        <v>87308520</v>
      </c>
      <c r="G129" s="923">
        <v>10084824</v>
      </c>
      <c r="H129" s="1133"/>
      <c r="K129" s="927">
        <v>3</v>
      </c>
      <c r="L129" s="928" t="s">
        <v>50</v>
      </c>
      <c r="M129" s="908">
        <v>21</v>
      </c>
      <c r="N129" s="918">
        <v>458.8559</v>
      </c>
      <c r="O129" s="920">
        <v>994800</v>
      </c>
      <c r="P129" s="920">
        <v>248700000</v>
      </c>
      <c r="Q129" s="921">
        <v>21384015</v>
      </c>
      <c r="R129" s="922">
        <v>240</v>
      </c>
    </row>
    <row r="130" spans="1:18" s="861" customFormat="1" ht="15" customHeight="1">
      <c r="A130" s="840">
        <v>3</v>
      </c>
      <c r="B130" s="841" t="s">
        <v>36</v>
      </c>
      <c r="C130" s="792"/>
      <c r="D130" s="859"/>
      <c r="E130" s="923">
        <v>163460</v>
      </c>
      <c r="F130" s="923">
        <v>29426400</v>
      </c>
      <c r="G130" s="923">
        <v>3201850</v>
      </c>
      <c r="H130" s="1133"/>
      <c r="K130" s="904">
        <v>4</v>
      </c>
      <c r="L130" s="929" t="s">
        <v>36</v>
      </c>
      <c r="M130" s="930"/>
      <c r="N130" s="931"/>
      <c r="O130" s="932">
        <v>118460</v>
      </c>
      <c r="P130" s="932">
        <v>35538000</v>
      </c>
      <c r="Q130" s="933">
        <v>5981000</v>
      </c>
      <c r="R130" s="922"/>
    </row>
    <row r="131" spans="1:18" ht="15" customHeight="1">
      <c r="A131" s="904">
        <v>4</v>
      </c>
      <c r="B131" s="841" t="s">
        <v>27</v>
      </c>
      <c r="C131" s="792">
        <v>2</v>
      </c>
      <c r="D131" s="859">
        <v>1359.492</v>
      </c>
      <c r="E131" s="821">
        <v>5984777</v>
      </c>
      <c r="F131" s="821">
        <v>718173240</v>
      </c>
      <c r="G131" s="821">
        <v>308606605</v>
      </c>
      <c r="H131" s="792">
        <v>180</v>
      </c>
      <c r="K131" s="904">
        <v>5</v>
      </c>
      <c r="L131" s="907" t="s">
        <v>17</v>
      </c>
      <c r="M131" s="901">
        <v>22</v>
      </c>
      <c r="N131" s="934">
        <v>98.9677</v>
      </c>
      <c r="O131" s="935">
        <v>23128</v>
      </c>
      <c r="P131" s="821">
        <v>11564000</v>
      </c>
      <c r="Q131" s="936">
        <v>3300290</v>
      </c>
      <c r="R131" s="908">
        <v>100</v>
      </c>
    </row>
    <row r="132" spans="1:18" ht="15" customHeight="1">
      <c r="A132" s="904">
        <v>5</v>
      </c>
      <c r="B132" s="841" t="s">
        <v>17</v>
      </c>
      <c r="C132" s="792">
        <v>16</v>
      </c>
      <c r="D132" s="859">
        <v>71.4609</v>
      </c>
      <c r="E132" s="821">
        <v>5203</v>
      </c>
      <c r="F132" s="821">
        <v>2081200</v>
      </c>
      <c r="G132" s="821">
        <v>467021</v>
      </c>
      <c r="H132" s="792">
        <v>70</v>
      </c>
      <c r="K132" s="840">
        <v>6</v>
      </c>
      <c r="L132" s="907" t="s">
        <v>21</v>
      </c>
      <c r="M132" s="901"/>
      <c r="N132" s="934"/>
      <c r="O132" s="935"/>
      <c r="P132" s="821"/>
      <c r="Q132" s="936"/>
      <c r="R132" s="908"/>
    </row>
    <row r="133" spans="1:18" ht="15" customHeight="1">
      <c r="A133" s="840">
        <v>6</v>
      </c>
      <c r="B133" s="841" t="s">
        <v>41</v>
      </c>
      <c r="C133" s="792"/>
      <c r="D133" s="859"/>
      <c r="E133" s="821"/>
      <c r="F133" s="821"/>
      <c r="G133" s="821">
        <v>25800</v>
      </c>
      <c r="H133" s="792"/>
      <c r="K133" s="904">
        <v>7</v>
      </c>
      <c r="L133" s="841" t="s">
        <v>41</v>
      </c>
      <c r="M133" s="937"/>
      <c r="N133" s="929"/>
      <c r="O133" s="821"/>
      <c r="P133" s="821"/>
      <c r="Q133" s="821"/>
      <c r="R133" s="937"/>
    </row>
    <row r="134" spans="1:18" ht="15" customHeight="1">
      <c r="A134" s="846"/>
      <c r="B134" s="841"/>
      <c r="C134" s="792"/>
      <c r="D134" s="859"/>
      <c r="E134" s="821"/>
      <c r="F134" s="821"/>
      <c r="G134" s="821"/>
      <c r="H134" s="792"/>
      <c r="K134" s="852"/>
      <c r="L134" s="853" t="s">
        <v>19</v>
      </c>
      <c r="M134" s="856">
        <f aca="true" t="shared" si="15" ref="M134:R134">SUM(M127:M133)</f>
        <v>48</v>
      </c>
      <c r="N134" s="866">
        <f t="shared" si="15"/>
        <v>2040.9076</v>
      </c>
      <c r="O134" s="856">
        <f t="shared" si="15"/>
        <v>7687102</v>
      </c>
      <c r="P134" s="856">
        <f t="shared" si="15"/>
        <v>1770290779</v>
      </c>
      <c r="Q134" s="856">
        <f t="shared" si="15"/>
        <v>423975828</v>
      </c>
      <c r="R134" s="856">
        <f t="shared" si="15"/>
        <v>533</v>
      </c>
    </row>
    <row r="135" spans="1:18" ht="15.75">
      <c r="A135" s="846"/>
      <c r="B135" s="847" t="s">
        <v>19</v>
      </c>
      <c r="C135" s="849">
        <f aca="true" t="shared" si="16" ref="C135:H135">SUM(C128:C133)</f>
        <v>37</v>
      </c>
      <c r="D135" s="864">
        <f t="shared" si="16"/>
        <v>1910.2555</v>
      </c>
      <c r="E135" s="850">
        <f t="shared" si="16"/>
        <v>6989456</v>
      </c>
      <c r="F135" s="850">
        <f t="shared" si="16"/>
        <v>866583520</v>
      </c>
      <c r="G135" s="850">
        <f t="shared" si="16"/>
        <v>325693690</v>
      </c>
      <c r="H135" s="849">
        <f t="shared" si="16"/>
        <v>510</v>
      </c>
      <c r="K135" s="826"/>
      <c r="L135" s="938"/>
      <c r="M135" s="876"/>
      <c r="N135" s="939"/>
      <c r="O135" s="877"/>
      <c r="P135" s="877"/>
      <c r="Q135" s="877"/>
      <c r="R135" s="876"/>
    </row>
    <row r="136" spans="1:18" ht="20.25">
      <c r="A136" s="826"/>
      <c r="B136" s="938"/>
      <c r="C136" s="876"/>
      <c r="D136" s="939"/>
      <c r="E136" s="877"/>
      <c r="F136" s="877"/>
      <c r="G136" s="877"/>
      <c r="H136" s="876"/>
      <c r="K136" s="826"/>
      <c r="L136" s="827"/>
      <c r="M136" s="807"/>
      <c r="N136" s="828" t="s">
        <v>69</v>
      </c>
      <c r="O136" s="809"/>
      <c r="P136" s="809"/>
      <c r="Q136" s="809"/>
      <c r="R136" s="829"/>
    </row>
    <row r="137" spans="1:18" ht="22.5" customHeight="1">
      <c r="A137" s="826"/>
      <c r="B137" s="827"/>
      <c r="C137" s="807"/>
      <c r="D137" s="828" t="s">
        <v>69</v>
      </c>
      <c r="E137" s="809"/>
      <c r="F137" s="809"/>
      <c r="G137" s="809"/>
      <c r="H137" s="829"/>
      <c r="K137" s="1124" t="s">
        <v>4</v>
      </c>
      <c r="L137" s="831" t="s">
        <v>5</v>
      </c>
      <c r="M137" s="831" t="s">
        <v>6</v>
      </c>
      <c r="N137" s="831" t="s">
        <v>7</v>
      </c>
      <c r="O137" s="831" t="s">
        <v>8</v>
      </c>
      <c r="P137" s="831" t="s">
        <v>9</v>
      </c>
      <c r="Q137" s="831" t="s">
        <v>10</v>
      </c>
      <c r="R137" s="831" t="s">
        <v>11</v>
      </c>
    </row>
    <row r="138" spans="1:18" ht="15" customHeight="1">
      <c r="A138" s="1125" t="s">
        <v>4</v>
      </c>
      <c r="B138" s="830" t="s">
        <v>5</v>
      </c>
      <c r="C138" s="830" t="s">
        <v>6</v>
      </c>
      <c r="D138" s="830" t="s">
        <v>7</v>
      </c>
      <c r="E138" s="830" t="s">
        <v>8</v>
      </c>
      <c r="F138" s="830" t="s">
        <v>9</v>
      </c>
      <c r="G138" s="830" t="s">
        <v>10</v>
      </c>
      <c r="H138" s="830" t="s">
        <v>11</v>
      </c>
      <c r="K138" s="1124"/>
      <c r="L138" s="836"/>
      <c r="M138" s="837"/>
      <c r="N138" s="838" t="s">
        <v>12</v>
      </c>
      <c r="O138" s="838" t="s">
        <v>13</v>
      </c>
      <c r="P138" s="839" t="s">
        <v>391</v>
      </c>
      <c r="Q138" s="839" t="s">
        <v>391</v>
      </c>
      <c r="R138" s="838" t="s">
        <v>15</v>
      </c>
    </row>
    <row r="139" spans="1:18" s="903" customFormat="1" ht="15.75">
      <c r="A139" s="1125"/>
      <c r="B139" s="832"/>
      <c r="C139" s="833"/>
      <c r="D139" s="834" t="s">
        <v>12</v>
      </c>
      <c r="E139" s="834" t="s">
        <v>13</v>
      </c>
      <c r="F139" s="835" t="s">
        <v>14</v>
      </c>
      <c r="G139" s="835" t="s">
        <v>14</v>
      </c>
      <c r="H139" s="834" t="s">
        <v>15</v>
      </c>
      <c r="K139" s="840">
        <v>1</v>
      </c>
      <c r="L139" s="841" t="s">
        <v>70</v>
      </c>
      <c r="M139" s="792">
        <v>2</v>
      </c>
      <c r="N139" s="858">
        <v>9.95</v>
      </c>
      <c r="O139" s="775">
        <v>0</v>
      </c>
      <c r="P139" s="775">
        <v>0</v>
      </c>
      <c r="Q139" s="775">
        <v>0</v>
      </c>
      <c r="R139" s="775">
        <f>Q139-S138</f>
        <v>0</v>
      </c>
    </row>
    <row r="140" spans="1:18" ht="15" customHeight="1">
      <c r="A140" s="840">
        <v>1</v>
      </c>
      <c r="B140" s="841" t="s">
        <v>70</v>
      </c>
      <c r="C140" s="792">
        <v>6</v>
      </c>
      <c r="D140" s="858">
        <v>229.54</v>
      </c>
      <c r="E140" s="775"/>
      <c r="F140" s="775"/>
      <c r="G140" s="775">
        <v>258412</v>
      </c>
      <c r="H140" s="772">
        <v>250</v>
      </c>
      <c r="K140" s="840">
        <v>2</v>
      </c>
      <c r="L140" s="841" t="s">
        <v>25</v>
      </c>
      <c r="M140" s="792">
        <v>31</v>
      </c>
      <c r="N140" s="858">
        <v>672.9</v>
      </c>
      <c r="O140" s="775">
        <v>7398.81</v>
      </c>
      <c r="P140" s="775">
        <v>403742</v>
      </c>
      <c r="Q140" s="775">
        <v>2131492</v>
      </c>
      <c r="R140" s="772">
        <v>250</v>
      </c>
    </row>
    <row r="141" spans="1:18" ht="15" customHeight="1">
      <c r="A141" s="840">
        <v>2</v>
      </c>
      <c r="B141" s="841" t="s">
        <v>25</v>
      </c>
      <c r="C141" s="792">
        <v>36</v>
      </c>
      <c r="D141" s="858">
        <v>1898.22</v>
      </c>
      <c r="E141" s="775">
        <v>58420.44</v>
      </c>
      <c r="F141" s="775">
        <v>14605110</v>
      </c>
      <c r="G141" s="775">
        <v>9225255</v>
      </c>
      <c r="H141" s="772">
        <v>550</v>
      </c>
      <c r="K141" s="852"/>
      <c r="L141" s="853" t="s">
        <v>19</v>
      </c>
      <c r="M141" s="855">
        <f aca="true" t="shared" si="17" ref="M141:R141">SUM(M139:M140)</f>
        <v>33</v>
      </c>
      <c r="N141" s="866">
        <f t="shared" si="17"/>
        <v>682.85</v>
      </c>
      <c r="O141" s="856">
        <f t="shared" si="17"/>
        <v>7398.81</v>
      </c>
      <c r="P141" s="856">
        <f t="shared" si="17"/>
        <v>403742</v>
      </c>
      <c r="Q141" s="856">
        <f t="shared" si="17"/>
        <v>2131492</v>
      </c>
      <c r="R141" s="855">
        <f t="shared" si="17"/>
        <v>250</v>
      </c>
    </row>
    <row r="142" spans="1:18" ht="15" customHeight="1">
      <c r="A142" s="846"/>
      <c r="B142" s="847" t="s">
        <v>19</v>
      </c>
      <c r="C142" s="849">
        <f aca="true" t="shared" si="18" ref="C142:H142">SUM(C140:C141)</f>
        <v>42</v>
      </c>
      <c r="D142" s="864">
        <f t="shared" si="18"/>
        <v>2127.76</v>
      </c>
      <c r="E142" s="850">
        <f t="shared" si="18"/>
        <v>58420.44</v>
      </c>
      <c r="F142" s="850">
        <f t="shared" si="18"/>
        <v>14605110</v>
      </c>
      <c r="G142" s="850">
        <f t="shared" si="18"/>
        <v>9483667</v>
      </c>
      <c r="H142" s="849">
        <f t="shared" si="18"/>
        <v>800</v>
      </c>
      <c r="K142" s="826"/>
      <c r="L142" s="938"/>
      <c r="M142" s="876"/>
      <c r="N142" s="939"/>
      <c r="O142" s="877"/>
      <c r="P142" s="877"/>
      <c r="Q142" s="877"/>
      <c r="R142" s="876"/>
    </row>
    <row r="143" spans="1:18" ht="15" customHeight="1">
      <c r="A143" s="826"/>
      <c r="B143" s="938"/>
      <c r="C143" s="876"/>
      <c r="D143" s="939"/>
      <c r="E143" s="877"/>
      <c r="F143" s="877"/>
      <c r="G143" s="877"/>
      <c r="H143" s="876"/>
      <c r="K143" s="826"/>
      <c r="L143" s="827"/>
      <c r="M143" s="807"/>
      <c r="N143" s="828" t="s">
        <v>71</v>
      </c>
      <c r="O143" s="809"/>
      <c r="P143" s="809"/>
      <c r="Q143" s="809"/>
      <c r="R143" s="829"/>
    </row>
    <row r="144" spans="1:18" ht="21" customHeight="1">
      <c r="A144" s="826"/>
      <c r="B144" s="827"/>
      <c r="C144" s="807"/>
      <c r="D144" s="828" t="s">
        <v>71</v>
      </c>
      <c r="E144" s="809"/>
      <c r="F144" s="809"/>
      <c r="G144" s="809"/>
      <c r="H144" s="829"/>
      <c r="K144" s="1124" t="s">
        <v>4</v>
      </c>
      <c r="L144" s="831" t="s">
        <v>5</v>
      </c>
      <c r="M144" s="831" t="s">
        <v>6</v>
      </c>
      <c r="N144" s="831" t="s">
        <v>7</v>
      </c>
      <c r="O144" s="831" t="s">
        <v>8</v>
      </c>
      <c r="P144" s="831" t="s">
        <v>9</v>
      </c>
      <c r="Q144" s="831" t="s">
        <v>10</v>
      </c>
      <c r="R144" s="831" t="s">
        <v>11</v>
      </c>
    </row>
    <row r="145" spans="1:18" ht="15" customHeight="1">
      <c r="A145" s="1125" t="s">
        <v>4</v>
      </c>
      <c r="B145" s="830" t="s">
        <v>5</v>
      </c>
      <c r="C145" s="830" t="s">
        <v>6</v>
      </c>
      <c r="D145" s="830" t="s">
        <v>7</v>
      </c>
      <c r="E145" s="830" t="s">
        <v>8</v>
      </c>
      <c r="F145" s="830" t="s">
        <v>9</v>
      </c>
      <c r="G145" s="830" t="s">
        <v>10</v>
      </c>
      <c r="H145" s="830" t="s">
        <v>11</v>
      </c>
      <c r="K145" s="1124"/>
      <c r="L145" s="836"/>
      <c r="M145" s="837"/>
      <c r="N145" s="838" t="s">
        <v>12</v>
      </c>
      <c r="O145" s="838" t="s">
        <v>13</v>
      </c>
      <c r="P145" s="839" t="s">
        <v>391</v>
      </c>
      <c r="Q145" s="839" t="s">
        <v>391</v>
      </c>
      <c r="R145" s="838" t="s">
        <v>15</v>
      </c>
    </row>
    <row r="146" spans="1:18" s="903" customFormat="1" ht="15.75" customHeight="1">
      <c r="A146" s="1125"/>
      <c r="B146" s="832"/>
      <c r="C146" s="833"/>
      <c r="D146" s="834" t="s">
        <v>12</v>
      </c>
      <c r="E146" s="834" t="s">
        <v>13</v>
      </c>
      <c r="F146" s="835" t="s">
        <v>14</v>
      </c>
      <c r="G146" s="835" t="s">
        <v>14</v>
      </c>
      <c r="H146" s="834" t="s">
        <v>15</v>
      </c>
      <c r="K146" s="840">
        <v>1</v>
      </c>
      <c r="L146" s="841" t="s">
        <v>27</v>
      </c>
      <c r="M146" s="792">
        <v>4</v>
      </c>
      <c r="N146" s="858">
        <v>1232.87</v>
      </c>
      <c r="O146" s="775">
        <v>755378</v>
      </c>
      <c r="P146" s="775">
        <v>158629461</v>
      </c>
      <c r="Q146" s="775">
        <v>53300000</v>
      </c>
      <c r="R146" s="775">
        <v>45</v>
      </c>
    </row>
    <row r="147" spans="1:18" ht="15" customHeight="1">
      <c r="A147" s="840">
        <v>1</v>
      </c>
      <c r="B147" s="841" t="s">
        <v>47</v>
      </c>
      <c r="C147" s="792">
        <v>49</v>
      </c>
      <c r="D147" s="858">
        <v>226.64</v>
      </c>
      <c r="E147" s="775">
        <v>238552.15</v>
      </c>
      <c r="F147" s="775">
        <v>107348467.5</v>
      </c>
      <c r="G147" s="775">
        <v>5779406</v>
      </c>
      <c r="H147" s="772">
        <v>390</v>
      </c>
      <c r="K147" s="840">
        <v>2</v>
      </c>
      <c r="L147" s="841" t="s">
        <v>47</v>
      </c>
      <c r="M147" s="792">
        <v>70</v>
      </c>
      <c r="N147" s="858">
        <v>377.54</v>
      </c>
      <c r="O147" s="775">
        <v>447065</v>
      </c>
      <c r="P147" s="775">
        <v>201179313</v>
      </c>
      <c r="Q147" s="775">
        <v>13931135</v>
      </c>
      <c r="R147" s="775">
        <v>435</v>
      </c>
    </row>
    <row r="148" spans="1:18" ht="15" customHeight="1">
      <c r="A148" s="840">
        <v>2</v>
      </c>
      <c r="B148" s="841" t="s">
        <v>27</v>
      </c>
      <c r="C148" s="792">
        <v>4</v>
      </c>
      <c r="D148" s="858">
        <v>1232.87</v>
      </c>
      <c r="E148" s="775">
        <v>537339.53</v>
      </c>
      <c r="F148" s="775">
        <v>112841300.3</v>
      </c>
      <c r="G148" s="775">
        <v>23819470</v>
      </c>
      <c r="H148" s="772">
        <v>45</v>
      </c>
      <c r="K148" s="840">
        <v>3</v>
      </c>
      <c r="L148" s="841" t="s">
        <v>43</v>
      </c>
      <c r="M148" s="792"/>
      <c r="N148" s="858"/>
      <c r="P148" s="775"/>
      <c r="Q148" s="775"/>
      <c r="R148" s="772"/>
    </row>
    <row r="149" spans="1:18" ht="15" customHeight="1">
      <c r="A149" s="840">
        <v>3</v>
      </c>
      <c r="B149" s="841" t="s">
        <v>72</v>
      </c>
      <c r="C149" s="792">
        <v>1</v>
      </c>
      <c r="D149" s="858">
        <v>4.5</v>
      </c>
      <c r="E149" s="775"/>
      <c r="F149" s="775"/>
      <c r="G149" s="775">
        <v>4200</v>
      </c>
      <c r="H149" s="772"/>
      <c r="K149" s="840">
        <v>4</v>
      </c>
      <c r="L149" s="841" t="s">
        <v>72</v>
      </c>
      <c r="M149" s="792">
        <v>1</v>
      </c>
      <c r="N149" s="858">
        <v>4.5</v>
      </c>
      <c r="O149" s="775">
        <v>1065</v>
      </c>
      <c r="P149" s="775">
        <v>330000</v>
      </c>
      <c r="Q149" s="775">
        <v>130000</v>
      </c>
      <c r="R149" s="772">
        <v>5</v>
      </c>
    </row>
    <row r="150" spans="1:18" ht="15" customHeight="1">
      <c r="A150" s="840">
        <v>4</v>
      </c>
      <c r="B150" s="841" t="s">
        <v>41</v>
      </c>
      <c r="C150" s="792"/>
      <c r="D150" s="858"/>
      <c r="E150" s="775"/>
      <c r="F150" s="775"/>
      <c r="G150" s="775">
        <v>56500</v>
      </c>
      <c r="H150" s="772"/>
      <c r="K150" s="852"/>
      <c r="L150" s="853" t="s">
        <v>19</v>
      </c>
      <c r="M150" s="855">
        <f aca="true" t="shared" si="19" ref="M150:R150">SUM(M146:M149)</f>
        <v>75</v>
      </c>
      <c r="N150" s="866">
        <f t="shared" si="19"/>
        <v>1614.9099999999999</v>
      </c>
      <c r="O150" s="856">
        <f>SUM(O146:O149)</f>
        <v>1203508</v>
      </c>
      <c r="P150" s="856">
        <f t="shared" si="19"/>
        <v>360138774</v>
      </c>
      <c r="Q150" s="856">
        <f t="shared" si="19"/>
        <v>67361135</v>
      </c>
      <c r="R150" s="856">
        <f t="shared" si="19"/>
        <v>485</v>
      </c>
    </row>
    <row r="151" spans="1:18" ht="15" customHeight="1">
      <c r="A151" s="846"/>
      <c r="B151" s="847" t="s">
        <v>19</v>
      </c>
      <c r="C151" s="849">
        <f aca="true" t="shared" si="20" ref="C151:H151">SUM(C147:C150)</f>
        <v>54</v>
      </c>
      <c r="D151" s="864">
        <f t="shared" si="20"/>
        <v>1464.0099999999998</v>
      </c>
      <c r="E151" s="850">
        <f t="shared" si="20"/>
        <v>775891.68</v>
      </c>
      <c r="F151" s="850">
        <f t="shared" si="20"/>
        <v>220189767.8</v>
      </c>
      <c r="G151" s="850">
        <f>SUM(G147:G150)</f>
        <v>29659576</v>
      </c>
      <c r="H151" s="849">
        <f t="shared" si="20"/>
        <v>435</v>
      </c>
      <c r="K151" s="826"/>
      <c r="L151" s="874"/>
      <c r="M151" s="876"/>
      <c r="N151" s="939"/>
      <c r="O151" s="877"/>
      <c r="P151" s="877"/>
      <c r="Q151" s="877"/>
      <c r="R151" s="876"/>
    </row>
    <row r="152" spans="1:18" ht="17.25" customHeight="1">
      <c r="A152" s="826"/>
      <c r="B152" s="874"/>
      <c r="C152" s="876"/>
      <c r="D152" s="939"/>
      <c r="E152" s="877"/>
      <c r="F152" s="877"/>
      <c r="G152" s="877"/>
      <c r="H152" s="876"/>
      <c r="K152" s="826"/>
      <c r="L152" s="827"/>
      <c r="M152" s="807"/>
      <c r="N152" s="828" t="s">
        <v>73</v>
      </c>
      <c r="O152" s="809"/>
      <c r="P152" s="809"/>
      <c r="Q152" s="809"/>
      <c r="R152" s="829"/>
    </row>
    <row r="153" spans="1:18" ht="21.75" customHeight="1">
      <c r="A153" s="826"/>
      <c r="B153" s="827"/>
      <c r="C153" s="807"/>
      <c r="D153" s="828" t="s">
        <v>73</v>
      </c>
      <c r="E153" s="809"/>
      <c r="F153" s="809"/>
      <c r="G153" s="809"/>
      <c r="H153" s="829"/>
      <c r="K153" s="1124" t="s">
        <v>4</v>
      </c>
      <c r="L153" s="831" t="s">
        <v>5</v>
      </c>
      <c r="M153" s="831" t="s">
        <v>6</v>
      </c>
      <c r="N153" s="831" t="s">
        <v>7</v>
      </c>
      <c r="O153" s="831" t="s">
        <v>8</v>
      </c>
      <c r="P153" s="831" t="s">
        <v>9</v>
      </c>
      <c r="Q153" s="831" t="s">
        <v>10</v>
      </c>
      <c r="R153" s="831" t="s">
        <v>11</v>
      </c>
    </row>
    <row r="154" spans="1:33" ht="15" customHeight="1">
      <c r="A154" s="1125" t="s">
        <v>4</v>
      </c>
      <c r="B154" s="830" t="s">
        <v>5</v>
      </c>
      <c r="C154" s="830" t="s">
        <v>6</v>
      </c>
      <c r="D154" s="830" t="s">
        <v>7</v>
      </c>
      <c r="E154" s="830" t="s">
        <v>8</v>
      </c>
      <c r="F154" s="830" t="s">
        <v>9</v>
      </c>
      <c r="G154" s="830" t="s">
        <v>10</v>
      </c>
      <c r="H154" s="830" t="s">
        <v>11</v>
      </c>
      <c r="K154" s="1124"/>
      <c r="L154" s="836"/>
      <c r="M154" s="837"/>
      <c r="N154" s="838" t="s">
        <v>12</v>
      </c>
      <c r="O154" s="838" t="s">
        <v>13</v>
      </c>
      <c r="P154" s="839" t="s">
        <v>391</v>
      </c>
      <c r="Q154" s="839" t="s">
        <v>391</v>
      </c>
      <c r="R154" s="838" t="s">
        <v>15</v>
      </c>
      <c r="W154" s="862"/>
      <c r="X154" s="862"/>
      <c r="Y154" s="862"/>
      <c r="Z154" s="862"/>
      <c r="AA154" s="862"/>
      <c r="AB154" s="862"/>
      <c r="AC154" s="862"/>
      <c r="AD154" s="862"/>
      <c r="AE154" s="862"/>
      <c r="AF154" s="862"/>
      <c r="AG154" s="862"/>
    </row>
    <row r="155" spans="1:33" s="903" customFormat="1" ht="15.75">
      <c r="A155" s="1125"/>
      <c r="B155" s="832"/>
      <c r="C155" s="833"/>
      <c r="D155" s="834" t="s">
        <v>12</v>
      </c>
      <c r="E155" s="834" t="s">
        <v>13</v>
      </c>
      <c r="F155" s="835" t="s">
        <v>14</v>
      </c>
      <c r="G155" s="835" t="s">
        <v>14</v>
      </c>
      <c r="H155" s="834" t="s">
        <v>15</v>
      </c>
      <c r="K155" s="904">
        <v>1</v>
      </c>
      <c r="L155" s="841" t="s">
        <v>36</v>
      </c>
      <c r="M155" s="772">
        <v>9</v>
      </c>
      <c r="N155" s="841">
        <v>349.43</v>
      </c>
      <c r="O155" s="775">
        <v>45665</v>
      </c>
      <c r="P155" s="940">
        <v>8791650</v>
      </c>
      <c r="Q155" s="941">
        <v>1340000</v>
      </c>
      <c r="R155" s="797">
        <v>152</v>
      </c>
      <c r="W155" s="942"/>
      <c r="X155" s="942"/>
      <c r="Y155" s="942"/>
      <c r="Z155" s="942"/>
      <c r="AA155" s="942"/>
      <c r="AB155" s="942"/>
      <c r="AC155" s="942"/>
      <c r="AD155" s="942"/>
      <c r="AE155" s="942"/>
      <c r="AF155" s="942"/>
      <c r="AG155" s="942"/>
    </row>
    <row r="156" spans="1:33" ht="15" customHeight="1">
      <c r="A156" s="904">
        <v>1</v>
      </c>
      <c r="B156" s="841" t="s">
        <v>33</v>
      </c>
      <c r="C156" s="772">
        <v>4</v>
      </c>
      <c r="D156" s="858">
        <v>349.59</v>
      </c>
      <c r="E156" s="775">
        <v>441</v>
      </c>
      <c r="F156" s="775">
        <v>110250</v>
      </c>
      <c r="G156" s="775">
        <v>137000</v>
      </c>
      <c r="H156" s="772">
        <v>5</v>
      </c>
      <c r="K156" s="904">
        <v>2</v>
      </c>
      <c r="L156" s="841" t="s">
        <v>47</v>
      </c>
      <c r="M156" s="772">
        <v>1</v>
      </c>
      <c r="N156" s="841">
        <v>5</v>
      </c>
      <c r="O156" s="775"/>
      <c r="P156" s="940"/>
      <c r="Q156" s="941"/>
      <c r="R156" s="797">
        <v>1</v>
      </c>
      <c r="W156" s="862"/>
      <c r="X156" s="862"/>
      <c r="Y156" s="862"/>
      <c r="Z156" s="862"/>
      <c r="AA156" s="862"/>
      <c r="AB156" s="862"/>
      <c r="AC156" s="862"/>
      <c r="AD156" s="862"/>
      <c r="AE156" s="862"/>
      <c r="AF156" s="862"/>
      <c r="AG156" s="862"/>
    </row>
    <row r="157" spans="1:33" ht="15" customHeight="1">
      <c r="A157" s="904">
        <v>2</v>
      </c>
      <c r="B157" s="841" t="s">
        <v>47</v>
      </c>
      <c r="C157" s="772">
        <v>1</v>
      </c>
      <c r="D157" s="858">
        <v>5</v>
      </c>
      <c r="E157" s="775">
        <v>0</v>
      </c>
      <c r="F157" s="775">
        <v>0</v>
      </c>
      <c r="G157" s="775">
        <v>0</v>
      </c>
      <c r="H157" s="772">
        <v>1</v>
      </c>
      <c r="K157" s="904">
        <v>3</v>
      </c>
      <c r="L157" s="841" t="s">
        <v>33</v>
      </c>
      <c r="M157" s="772">
        <v>2</v>
      </c>
      <c r="N157" s="841">
        <v>29.482</v>
      </c>
      <c r="O157" s="775">
        <v>92</v>
      </c>
      <c r="P157" s="940">
        <v>32200</v>
      </c>
      <c r="Q157" s="941">
        <v>1000</v>
      </c>
      <c r="R157" s="797">
        <v>55</v>
      </c>
      <c r="W157" s="862"/>
      <c r="X157" s="862"/>
      <c r="Y157" s="862"/>
      <c r="Z157" s="862"/>
      <c r="AA157" s="862"/>
      <c r="AB157" s="862"/>
      <c r="AC157" s="862"/>
      <c r="AD157" s="862"/>
      <c r="AE157" s="862"/>
      <c r="AF157" s="862"/>
      <c r="AG157" s="862"/>
    </row>
    <row r="158" spans="1:33" ht="15" customHeight="1">
      <c r="A158" s="904"/>
      <c r="B158" s="841"/>
      <c r="C158" s="772"/>
      <c r="D158" s="858"/>
      <c r="E158" s="775"/>
      <c r="F158" s="775"/>
      <c r="G158" s="775"/>
      <c r="H158" s="772"/>
      <c r="K158" s="904">
        <v>4</v>
      </c>
      <c r="L158" s="841" t="s">
        <v>21</v>
      </c>
      <c r="M158" s="772"/>
      <c r="N158" s="841"/>
      <c r="O158" s="775">
        <v>7200</v>
      </c>
      <c r="P158" s="940">
        <v>720000</v>
      </c>
      <c r="Q158" s="941"/>
      <c r="R158" s="797"/>
      <c r="W158" s="862"/>
      <c r="X158" s="862"/>
      <c r="Y158" s="862"/>
      <c r="Z158" s="862"/>
      <c r="AA158" s="862"/>
      <c r="AB158" s="862"/>
      <c r="AC158" s="862"/>
      <c r="AD158" s="862"/>
      <c r="AE158" s="862"/>
      <c r="AF158" s="862"/>
      <c r="AG158" s="862"/>
    </row>
    <row r="159" spans="1:33" ht="15" customHeight="1">
      <c r="A159" s="904">
        <v>3</v>
      </c>
      <c r="B159" s="841" t="s">
        <v>39</v>
      </c>
      <c r="C159" s="772">
        <v>2</v>
      </c>
      <c r="D159" s="858">
        <v>83.1764</v>
      </c>
      <c r="E159" s="775"/>
      <c r="F159" s="775"/>
      <c r="G159" s="775">
        <v>914000</v>
      </c>
      <c r="H159" s="772">
        <v>10</v>
      </c>
      <c r="K159" s="904">
        <v>5</v>
      </c>
      <c r="L159" s="841" t="s">
        <v>17</v>
      </c>
      <c r="M159" s="923">
        <v>32</v>
      </c>
      <c r="N159" s="841">
        <v>234.633</v>
      </c>
      <c r="O159" s="774">
        <v>5680</v>
      </c>
      <c r="P159" s="943">
        <v>994000</v>
      </c>
      <c r="Q159" s="944">
        <v>2386000</v>
      </c>
      <c r="R159" s="945">
        <v>110</v>
      </c>
      <c r="W159" s="862"/>
      <c r="X159" s="862"/>
      <c r="Y159" s="862"/>
      <c r="Z159" s="862"/>
      <c r="AA159" s="862"/>
      <c r="AB159" s="862"/>
      <c r="AC159" s="862"/>
      <c r="AD159" s="862"/>
      <c r="AE159" s="862"/>
      <c r="AF159" s="862"/>
      <c r="AG159" s="862"/>
    </row>
    <row r="160" spans="1:33" ht="15" customHeight="1">
      <c r="A160" s="904">
        <v>4</v>
      </c>
      <c r="B160" s="841" t="s">
        <v>21</v>
      </c>
      <c r="C160" s="923"/>
      <c r="D160" s="773"/>
      <c r="E160" s="774">
        <v>380</v>
      </c>
      <c r="F160" s="946">
        <v>34200</v>
      </c>
      <c r="G160" s="946"/>
      <c r="H160" s="843"/>
      <c r="K160" s="904">
        <v>6</v>
      </c>
      <c r="L160" s="841" t="s">
        <v>25</v>
      </c>
      <c r="M160" s="923">
        <v>9</v>
      </c>
      <c r="N160" s="841">
        <v>555.2</v>
      </c>
      <c r="O160" s="774">
        <v>656</v>
      </c>
      <c r="P160" s="943">
        <v>278800</v>
      </c>
      <c r="Q160" s="944">
        <v>126000</v>
      </c>
      <c r="R160" s="945">
        <v>15</v>
      </c>
      <c r="W160" s="862"/>
      <c r="X160" s="862"/>
      <c r="Y160" s="862"/>
      <c r="Z160" s="862"/>
      <c r="AA160" s="862"/>
      <c r="AB160" s="862"/>
      <c r="AC160" s="862"/>
      <c r="AD160" s="862"/>
      <c r="AE160" s="862"/>
      <c r="AF160" s="862"/>
      <c r="AG160" s="862"/>
    </row>
    <row r="161" spans="1:33" ht="15" customHeight="1">
      <c r="A161" s="904">
        <v>5</v>
      </c>
      <c r="B161" s="841" t="s">
        <v>17</v>
      </c>
      <c r="C161" s="923">
        <v>19</v>
      </c>
      <c r="D161" s="773">
        <v>179.6933</v>
      </c>
      <c r="E161" s="774">
        <v>16089</v>
      </c>
      <c r="F161" s="946">
        <v>2091570</v>
      </c>
      <c r="G161" s="946">
        <v>755000</v>
      </c>
      <c r="H161" s="843">
        <v>35</v>
      </c>
      <c r="K161" s="947">
        <v>7</v>
      </c>
      <c r="L161" s="948" t="s">
        <v>39</v>
      </c>
      <c r="M161" s="772">
        <v>2</v>
      </c>
      <c r="N161" s="841">
        <v>83.176</v>
      </c>
      <c r="O161" s="775"/>
      <c r="P161" s="775"/>
      <c r="Q161" s="949"/>
      <c r="R161" s="950">
        <v>30</v>
      </c>
      <c r="W161" s="862"/>
      <c r="X161" s="862"/>
      <c r="Y161" s="862"/>
      <c r="Z161" s="862"/>
      <c r="AA161" s="862"/>
      <c r="AB161" s="862"/>
      <c r="AC161" s="862"/>
      <c r="AD161" s="862"/>
      <c r="AE161" s="862"/>
      <c r="AF161" s="862"/>
      <c r="AG161" s="862"/>
    </row>
    <row r="162" spans="1:33" ht="15" customHeight="1">
      <c r="A162" s="904">
        <v>6</v>
      </c>
      <c r="B162" s="841" t="s">
        <v>74</v>
      </c>
      <c r="C162" s="772">
        <v>6</v>
      </c>
      <c r="D162" s="858">
        <f>23.9+33.23</f>
        <v>57.129999999999995</v>
      </c>
      <c r="E162" s="775">
        <v>0</v>
      </c>
      <c r="F162" s="775">
        <v>0</v>
      </c>
      <c r="G162" s="775">
        <v>0</v>
      </c>
      <c r="H162" s="772">
        <v>6</v>
      </c>
      <c r="K162" s="951">
        <v>8</v>
      </c>
      <c r="L162" s="918" t="s">
        <v>74</v>
      </c>
      <c r="M162" s="798">
        <v>5</v>
      </c>
      <c r="N162" s="841">
        <v>53.13</v>
      </c>
      <c r="O162" s="775"/>
      <c r="P162" s="775"/>
      <c r="Q162" s="775">
        <v>35000</v>
      </c>
      <c r="R162" s="772">
        <v>5</v>
      </c>
      <c r="W162" s="862"/>
      <c r="X162" s="862"/>
      <c r="Y162" s="862"/>
      <c r="Z162" s="862"/>
      <c r="AA162" s="862"/>
      <c r="AB162" s="862"/>
      <c r="AC162" s="862"/>
      <c r="AD162" s="862"/>
      <c r="AE162" s="862"/>
      <c r="AF162" s="862"/>
      <c r="AG162" s="862"/>
    </row>
    <row r="163" spans="1:33" ht="15" customHeight="1">
      <c r="A163" s="904">
        <v>7</v>
      </c>
      <c r="B163" s="841" t="s">
        <v>50</v>
      </c>
      <c r="C163" s="772">
        <v>1</v>
      </c>
      <c r="D163" s="858">
        <v>5</v>
      </c>
      <c r="E163" s="775"/>
      <c r="F163" s="775"/>
      <c r="G163" s="775"/>
      <c r="H163" s="772">
        <v>1</v>
      </c>
      <c r="K163" s="951">
        <v>9</v>
      </c>
      <c r="L163" s="918" t="s">
        <v>50</v>
      </c>
      <c r="M163" s="798">
        <v>1</v>
      </c>
      <c r="N163" s="841">
        <v>5</v>
      </c>
      <c r="O163" s="775"/>
      <c r="P163" s="775"/>
      <c r="Q163" s="775"/>
      <c r="R163" s="772"/>
      <c r="W163" s="862"/>
      <c r="X163" s="862"/>
      <c r="Y163" s="862"/>
      <c r="Z163" s="862"/>
      <c r="AA163" s="862"/>
      <c r="AB163" s="862"/>
      <c r="AC163" s="862"/>
      <c r="AD163" s="862"/>
      <c r="AE163" s="862"/>
      <c r="AF163" s="862"/>
      <c r="AG163" s="862"/>
    </row>
    <row r="164" spans="1:33" ht="15" customHeight="1">
      <c r="A164" s="904">
        <v>8</v>
      </c>
      <c r="B164" s="841" t="s">
        <v>36</v>
      </c>
      <c r="C164" s="772">
        <f>9+1+1</f>
        <v>11</v>
      </c>
      <c r="D164" s="858">
        <f>412.6578+45+41.44</f>
        <v>499.0978</v>
      </c>
      <c r="E164" s="775">
        <f>33057+15845</f>
        <v>48902</v>
      </c>
      <c r="F164" s="775">
        <f>5784975+2772175</f>
        <v>8557150</v>
      </c>
      <c r="G164" s="775">
        <f>1348000+950000</f>
        <v>2298000</v>
      </c>
      <c r="H164" s="772">
        <v>135</v>
      </c>
      <c r="K164" s="800"/>
      <c r="L164" s="918"/>
      <c r="M164" s="798"/>
      <c r="N164" s="841"/>
      <c r="O164" s="775"/>
      <c r="P164" s="775"/>
      <c r="Q164" s="775"/>
      <c r="R164" s="772"/>
      <c r="W164" s="862"/>
      <c r="X164" s="862"/>
      <c r="Y164" s="862"/>
      <c r="Z164" s="862"/>
      <c r="AA164" s="862"/>
      <c r="AB164" s="862"/>
      <c r="AC164" s="862"/>
      <c r="AD164" s="862"/>
      <c r="AE164" s="862"/>
      <c r="AF164" s="862"/>
      <c r="AG164" s="862"/>
    </row>
    <row r="165" spans="1:33" ht="15" customHeight="1">
      <c r="A165" s="904">
        <v>9</v>
      </c>
      <c r="B165" s="841" t="s">
        <v>25</v>
      </c>
      <c r="C165" s="772">
        <f>9+1</f>
        <v>10</v>
      </c>
      <c r="D165" s="842">
        <f>622.1927+5</f>
        <v>627.1927</v>
      </c>
      <c r="E165" s="775">
        <v>2416</v>
      </c>
      <c r="F165" s="775">
        <v>724800</v>
      </c>
      <c r="G165" s="775">
        <v>1750000</v>
      </c>
      <c r="H165" s="772">
        <v>15</v>
      </c>
      <c r="K165" s="952"/>
      <c r="L165" s="953" t="s">
        <v>19</v>
      </c>
      <c r="M165" s="855">
        <f aca="true" t="shared" si="21" ref="M165:R165">SUM(M155:M164)</f>
        <v>61</v>
      </c>
      <c r="N165" s="866">
        <f t="shared" si="21"/>
        <v>1315.0510000000002</v>
      </c>
      <c r="O165" s="856">
        <f t="shared" si="21"/>
        <v>59293</v>
      </c>
      <c r="P165" s="856">
        <f t="shared" si="21"/>
        <v>10816650</v>
      </c>
      <c r="Q165" s="856">
        <f t="shared" si="21"/>
        <v>3888000</v>
      </c>
      <c r="R165" s="855">
        <f t="shared" si="21"/>
        <v>368</v>
      </c>
      <c r="W165" s="862"/>
      <c r="X165" s="862"/>
      <c r="Y165" s="862"/>
      <c r="Z165" s="862"/>
      <c r="AA165" s="862"/>
      <c r="AB165" s="862"/>
      <c r="AC165" s="862"/>
      <c r="AD165" s="862"/>
      <c r="AE165" s="862"/>
      <c r="AF165" s="862"/>
      <c r="AG165" s="862"/>
    </row>
    <row r="166" spans="1:33" ht="15" customHeight="1">
      <c r="A166" s="846"/>
      <c r="B166" s="847" t="s">
        <v>19</v>
      </c>
      <c r="C166" s="849">
        <f aca="true" t="shared" si="22" ref="C166:H166">SUM(C156:C165)</f>
        <v>54</v>
      </c>
      <c r="D166" s="864">
        <f t="shared" si="22"/>
        <v>1805.8802</v>
      </c>
      <c r="E166" s="850">
        <f t="shared" si="22"/>
        <v>68228</v>
      </c>
      <c r="F166" s="850">
        <f t="shared" si="22"/>
        <v>11517970</v>
      </c>
      <c r="G166" s="850">
        <f t="shared" si="22"/>
        <v>5854000</v>
      </c>
      <c r="H166" s="849">
        <f t="shared" si="22"/>
        <v>208</v>
      </c>
      <c r="K166" s="826"/>
      <c r="L166" s="938"/>
      <c r="M166" s="876"/>
      <c r="N166" s="939"/>
      <c r="O166" s="877"/>
      <c r="P166" s="877"/>
      <c r="Q166" s="877"/>
      <c r="R166" s="876"/>
      <c r="W166" s="862"/>
      <c r="X166" s="862"/>
      <c r="Y166" s="862"/>
      <c r="Z166" s="862"/>
      <c r="AA166" s="862"/>
      <c r="AB166" s="862"/>
      <c r="AC166" s="862"/>
      <c r="AD166" s="862"/>
      <c r="AE166" s="862"/>
      <c r="AF166" s="862"/>
      <c r="AG166" s="862"/>
    </row>
    <row r="167" spans="1:33" ht="15" customHeight="1">
      <c r="A167" s="826"/>
      <c r="B167" s="938"/>
      <c r="C167" s="876"/>
      <c r="D167" s="939"/>
      <c r="E167" s="877"/>
      <c r="F167" s="877"/>
      <c r="G167" s="877"/>
      <c r="H167" s="876"/>
      <c r="K167" s="826"/>
      <c r="L167" s="827"/>
      <c r="M167" s="807"/>
      <c r="N167" s="857"/>
      <c r="O167" s="809"/>
      <c r="P167" s="809"/>
      <c r="Q167" s="809"/>
      <c r="R167" s="829"/>
      <c r="W167" s="862"/>
      <c r="X167" s="862"/>
      <c r="Y167" s="862"/>
      <c r="Z167" s="862"/>
      <c r="AA167" s="862"/>
      <c r="AB167" s="862"/>
      <c r="AC167" s="862"/>
      <c r="AD167" s="862"/>
      <c r="AE167" s="862"/>
      <c r="AF167" s="862"/>
      <c r="AG167" s="862"/>
    </row>
    <row r="168" spans="1:33" ht="20.25" customHeight="1">
      <c r="A168" s="826"/>
      <c r="B168" s="827"/>
      <c r="C168" s="807"/>
      <c r="D168" s="857"/>
      <c r="E168" s="809"/>
      <c r="F168" s="809"/>
      <c r="G168" s="809"/>
      <c r="H168" s="829"/>
      <c r="K168" s="826"/>
      <c r="L168" s="827"/>
      <c r="M168" s="807"/>
      <c r="N168" s="828" t="s">
        <v>75</v>
      </c>
      <c r="O168" s="809"/>
      <c r="P168" s="809"/>
      <c r="Q168" s="809"/>
      <c r="R168" s="829"/>
      <c r="W168" s="862"/>
      <c r="X168" s="862"/>
      <c r="Y168" s="862"/>
      <c r="Z168" s="862"/>
      <c r="AA168" s="862"/>
      <c r="AB168" s="862"/>
      <c r="AC168" s="862"/>
      <c r="AD168" s="862"/>
      <c r="AE168" s="862"/>
      <c r="AF168" s="862"/>
      <c r="AG168" s="862"/>
    </row>
    <row r="169" spans="1:33" ht="15" customHeight="1">
      <c r="A169" s="826"/>
      <c r="B169" s="827"/>
      <c r="C169" s="807"/>
      <c r="D169" s="828" t="s">
        <v>75</v>
      </c>
      <c r="E169" s="809"/>
      <c r="F169" s="809"/>
      <c r="G169" s="809"/>
      <c r="H169" s="829"/>
      <c r="K169" s="1124" t="s">
        <v>4</v>
      </c>
      <c r="L169" s="831" t="s">
        <v>5</v>
      </c>
      <c r="M169" s="831" t="s">
        <v>6</v>
      </c>
      <c r="N169" s="831" t="s">
        <v>7</v>
      </c>
      <c r="O169" s="831" t="s">
        <v>8</v>
      </c>
      <c r="P169" s="831" t="s">
        <v>9</v>
      </c>
      <c r="Q169" s="831" t="s">
        <v>10</v>
      </c>
      <c r="R169" s="831" t="s">
        <v>11</v>
      </c>
      <c r="W169" s="862"/>
      <c r="X169" s="862"/>
      <c r="Y169" s="862"/>
      <c r="Z169" s="862"/>
      <c r="AA169" s="862"/>
      <c r="AB169" s="862"/>
      <c r="AC169" s="862"/>
      <c r="AD169" s="862"/>
      <c r="AE169" s="862"/>
      <c r="AF169" s="862"/>
      <c r="AG169" s="862"/>
    </row>
    <row r="170" spans="1:33" ht="15" customHeight="1">
      <c r="A170" s="1125" t="s">
        <v>4</v>
      </c>
      <c r="B170" s="830" t="s">
        <v>5</v>
      </c>
      <c r="C170" s="830" t="s">
        <v>6</v>
      </c>
      <c r="D170" s="830" t="s">
        <v>7</v>
      </c>
      <c r="E170" s="830" t="s">
        <v>8</v>
      </c>
      <c r="F170" s="830" t="s">
        <v>9</v>
      </c>
      <c r="G170" s="830" t="s">
        <v>10</v>
      </c>
      <c r="H170" s="830" t="s">
        <v>11</v>
      </c>
      <c r="K170" s="1124"/>
      <c r="L170" s="836"/>
      <c r="M170" s="837"/>
      <c r="N170" s="838" t="s">
        <v>12</v>
      </c>
      <c r="O170" s="838" t="s">
        <v>13</v>
      </c>
      <c r="P170" s="839" t="s">
        <v>391</v>
      </c>
      <c r="Q170" s="839" t="s">
        <v>391</v>
      </c>
      <c r="R170" s="838" t="s">
        <v>15</v>
      </c>
      <c r="W170" s="862"/>
      <c r="X170" s="862"/>
      <c r="Y170" s="862"/>
      <c r="Z170" s="862"/>
      <c r="AA170" s="862"/>
      <c r="AB170" s="862"/>
      <c r="AC170" s="862"/>
      <c r="AD170" s="862"/>
      <c r="AE170" s="862"/>
      <c r="AF170" s="862"/>
      <c r="AG170" s="862"/>
    </row>
    <row r="171" spans="1:18" s="903" customFormat="1" ht="15.75">
      <c r="A171" s="1125"/>
      <c r="B171" s="832"/>
      <c r="C171" s="833"/>
      <c r="D171" s="834" t="s">
        <v>12</v>
      </c>
      <c r="E171" s="834" t="s">
        <v>13</v>
      </c>
      <c r="F171" s="835" t="s">
        <v>14</v>
      </c>
      <c r="G171" s="835" t="s">
        <v>14</v>
      </c>
      <c r="H171" s="834" t="s">
        <v>15</v>
      </c>
      <c r="K171" s="840">
        <v>1</v>
      </c>
      <c r="L171" s="841" t="s">
        <v>76</v>
      </c>
      <c r="M171" s="792">
        <v>2</v>
      </c>
      <c r="N171" s="858">
        <v>1998</v>
      </c>
      <c r="O171" s="775">
        <v>2242853</v>
      </c>
      <c r="P171" s="775">
        <v>1211140512</v>
      </c>
      <c r="Q171" s="775">
        <v>157841000</v>
      </c>
      <c r="R171" s="772">
        <v>400</v>
      </c>
    </row>
    <row r="172" spans="1:18" ht="15" customHeight="1">
      <c r="A172" s="840">
        <v>1</v>
      </c>
      <c r="B172" s="841" t="s">
        <v>76</v>
      </c>
      <c r="C172" s="792">
        <v>2</v>
      </c>
      <c r="D172" s="858">
        <v>1998</v>
      </c>
      <c r="E172" s="775">
        <v>2110266</v>
      </c>
      <c r="F172" s="775">
        <v>906066498</v>
      </c>
      <c r="G172" s="775">
        <v>138116000</v>
      </c>
      <c r="H172" s="772">
        <v>250</v>
      </c>
      <c r="J172" s="791">
        <f>F172/E172</f>
        <v>429.3612738867991</v>
      </c>
      <c r="K172" s="840">
        <v>2</v>
      </c>
      <c r="L172" s="841" t="s">
        <v>48</v>
      </c>
      <c r="M172" s="792">
        <v>3</v>
      </c>
      <c r="N172" s="858">
        <v>922.47</v>
      </c>
      <c r="O172" s="775">
        <v>560878</v>
      </c>
      <c r="P172" s="775">
        <v>347743821</v>
      </c>
      <c r="Q172" s="775">
        <v>42843000</v>
      </c>
      <c r="R172" s="772">
        <v>50</v>
      </c>
    </row>
    <row r="173" spans="1:18" ht="15" customHeight="1">
      <c r="A173" s="840">
        <v>2</v>
      </c>
      <c r="B173" s="841" t="s">
        <v>48</v>
      </c>
      <c r="C173" s="792">
        <v>4</v>
      </c>
      <c r="D173" s="858">
        <v>1067.9</v>
      </c>
      <c r="E173" s="775">
        <v>950996</v>
      </c>
      <c r="F173" s="775">
        <v>448481000</v>
      </c>
      <c r="G173" s="775">
        <v>94084000</v>
      </c>
      <c r="H173" s="772">
        <v>30</v>
      </c>
      <c r="K173" s="840">
        <v>3</v>
      </c>
      <c r="L173" s="841" t="s">
        <v>77</v>
      </c>
      <c r="M173" s="792">
        <v>10</v>
      </c>
      <c r="N173" s="858">
        <v>91.71</v>
      </c>
      <c r="O173" s="775">
        <v>18426</v>
      </c>
      <c r="P173" s="775">
        <v>14740800</v>
      </c>
      <c r="Q173" s="821">
        <v>1860000</v>
      </c>
      <c r="R173" s="772">
        <v>30</v>
      </c>
    </row>
    <row r="174" spans="1:18" ht="15" customHeight="1">
      <c r="A174" s="840">
        <v>3</v>
      </c>
      <c r="B174" s="841" t="s">
        <v>77</v>
      </c>
      <c r="C174" s="792">
        <v>8</v>
      </c>
      <c r="D174" s="858">
        <v>385</v>
      </c>
      <c r="E174" s="775">
        <v>301</v>
      </c>
      <c r="F174" s="775">
        <v>94815</v>
      </c>
      <c r="G174" s="873" t="s">
        <v>45</v>
      </c>
      <c r="H174" s="772">
        <v>2</v>
      </c>
      <c r="K174" s="840">
        <v>4</v>
      </c>
      <c r="L174" s="841" t="s">
        <v>39</v>
      </c>
      <c r="M174" s="792">
        <v>1</v>
      </c>
      <c r="N174" s="858">
        <v>32.37</v>
      </c>
      <c r="O174" s="873"/>
      <c r="P174" s="775"/>
      <c r="Q174" s="873"/>
      <c r="R174" s="772"/>
    </row>
    <row r="175" spans="1:18" ht="15" customHeight="1">
      <c r="A175" s="840">
        <v>4</v>
      </c>
      <c r="B175" s="841" t="s">
        <v>39</v>
      </c>
      <c r="C175" s="792">
        <v>1</v>
      </c>
      <c r="D175" s="858">
        <v>32.37</v>
      </c>
      <c r="E175" s="873" t="s">
        <v>45</v>
      </c>
      <c r="F175" s="775"/>
      <c r="G175" s="873" t="s">
        <v>45</v>
      </c>
      <c r="H175" s="772"/>
      <c r="K175" s="904">
        <v>5</v>
      </c>
      <c r="L175" s="841" t="s">
        <v>66</v>
      </c>
      <c r="M175" s="792"/>
      <c r="N175" s="858"/>
      <c r="O175" s="873"/>
      <c r="P175" s="775"/>
      <c r="Q175" s="873"/>
      <c r="R175" s="772"/>
    </row>
    <row r="176" spans="1:18" ht="15" customHeight="1">
      <c r="A176" s="904">
        <v>5</v>
      </c>
      <c r="B176" s="841" t="s">
        <v>66</v>
      </c>
      <c r="C176" s="792">
        <v>1</v>
      </c>
      <c r="D176" s="858">
        <v>150</v>
      </c>
      <c r="E176" s="873" t="s">
        <v>45</v>
      </c>
      <c r="F176" s="775"/>
      <c r="G176" s="873" t="s">
        <v>45</v>
      </c>
      <c r="H176" s="772"/>
      <c r="K176" s="904">
        <v>6</v>
      </c>
      <c r="L176" s="841" t="s">
        <v>78</v>
      </c>
      <c r="M176" s="792">
        <v>1</v>
      </c>
      <c r="N176" s="858">
        <v>4.9</v>
      </c>
      <c r="O176" s="873">
        <v>650</v>
      </c>
      <c r="P176" s="775"/>
      <c r="Q176" s="775">
        <v>11000</v>
      </c>
      <c r="R176" s="772">
        <v>5</v>
      </c>
    </row>
    <row r="177" spans="1:18" ht="15" customHeight="1">
      <c r="A177" s="904">
        <v>6</v>
      </c>
      <c r="B177" s="841" t="s">
        <v>78</v>
      </c>
      <c r="C177" s="792">
        <v>1</v>
      </c>
      <c r="D177" s="858">
        <v>32.37</v>
      </c>
      <c r="E177" s="873" t="s">
        <v>45</v>
      </c>
      <c r="F177" s="775"/>
      <c r="G177" s="775">
        <v>37000</v>
      </c>
      <c r="H177" s="772"/>
      <c r="K177" s="904">
        <v>7</v>
      </c>
      <c r="L177" s="841" t="s">
        <v>41</v>
      </c>
      <c r="M177" s="792"/>
      <c r="N177" s="858"/>
      <c r="O177" s="775"/>
      <c r="P177" s="775"/>
      <c r="Q177" s="775"/>
      <c r="R177" s="772"/>
    </row>
    <row r="178" spans="1:18" ht="15" customHeight="1">
      <c r="A178" s="904">
        <v>7</v>
      </c>
      <c r="B178" s="841" t="s">
        <v>41</v>
      </c>
      <c r="C178" s="792"/>
      <c r="D178" s="858"/>
      <c r="E178" s="775"/>
      <c r="F178" s="775"/>
      <c r="G178" s="775">
        <f>71550+58050</f>
        <v>129600</v>
      </c>
      <c r="H178" s="772"/>
      <c r="K178" s="852"/>
      <c r="L178" s="853" t="s">
        <v>19</v>
      </c>
      <c r="M178" s="855">
        <f aca="true" t="shared" si="23" ref="M178:R178">SUM(M171:M177)</f>
        <v>17</v>
      </c>
      <c r="N178" s="855">
        <f t="shared" si="23"/>
        <v>3049.4500000000003</v>
      </c>
      <c r="O178" s="856">
        <f t="shared" si="23"/>
        <v>2822807</v>
      </c>
      <c r="P178" s="856">
        <f t="shared" si="23"/>
        <v>1573625133</v>
      </c>
      <c r="Q178" s="856">
        <f t="shared" si="23"/>
        <v>202555000</v>
      </c>
      <c r="R178" s="855">
        <f t="shared" si="23"/>
        <v>485</v>
      </c>
    </row>
    <row r="179" spans="1:18" ht="15" customHeight="1">
      <c r="A179" s="846"/>
      <c r="B179" s="847" t="s">
        <v>19</v>
      </c>
      <c r="C179" s="849">
        <f aca="true" t="shared" si="24" ref="C179:H179">SUM(C172:C178)</f>
        <v>17</v>
      </c>
      <c r="D179" s="849">
        <f t="shared" si="24"/>
        <v>3665.64</v>
      </c>
      <c r="E179" s="850">
        <f t="shared" si="24"/>
        <v>3061563</v>
      </c>
      <c r="F179" s="850">
        <f t="shared" si="24"/>
        <v>1354642313</v>
      </c>
      <c r="G179" s="850">
        <f t="shared" si="24"/>
        <v>232366600</v>
      </c>
      <c r="H179" s="849">
        <f t="shared" si="24"/>
        <v>282</v>
      </c>
      <c r="K179" s="826"/>
      <c r="L179" s="827"/>
      <c r="M179" s="807"/>
      <c r="N179" s="857"/>
      <c r="O179" s="809"/>
      <c r="P179" s="809"/>
      <c r="Q179" s="809"/>
      <c r="R179" s="829"/>
    </row>
    <row r="180" spans="1:18" ht="15.75" customHeight="1">
      <c r="A180" s="826"/>
      <c r="B180" s="827"/>
      <c r="C180" s="807"/>
      <c r="D180" s="857"/>
      <c r="E180" s="809"/>
      <c r="F180" s="809"/>
      <c r="G180" s="809"/>
      <c r="H180" s="829"/>
      <c r="K180" s="826"/>
      <c r="L180" s="827"/>
      <c r="M180" s="807"/>
      <c r="N180" s="828" t="s">
        <v>79</v>
      </c>
      <c r="O180" s="809"/>
      <c r="P180" s="809"/>
      <c r="Q180" s="809"/>
      <c r="R180" s="829"/>
    </row>
    <row r="181" spans="1:18" ht="24.75" customHeight="1">
      <c r="A181" s="826"/>
      <c r="B181" s="827"/>
      <c r="C181" s="807"/>
      <c r="D181" s="828" t="s">
        <v>79</v>
      </c>
      <c r="E181" s="809"/>
      <c r="F181" s="809"/>
      <c r="G181" s="809"/>
      <c r="H181" s="829"/>
      <c r="K181" s="1124" t="s">
        <v>4</v>
      </c>
      <c r="L181" s="831" t="s">
        <v>5</v>
      </c>
      <c r="M181" s="831" t="s">
        <v>6</v>
      </c>
      <c r="N181" s="831" t="s">
        <v>7</v>
      </c>
      <c r="O181" s="831" t="s">
        <v>8</v>
      </c>
      <c r="P181" s="831" t="s">
        <v>9</v>
      </c>
      <c r="Q181" s="831" t="s">
        <v>10</v>
      </c>
      <c r="R181" s="831" t="s">
        <v>11</v>
      </c>
    </row>
    <row r="182" spans="1:18" ht="15" customHeight="1">
      <c r="A182" s="1125" t="s">
        <v>4</v>
      </c>
      <c r="B182" s="830" t="s">
        <v>5</v>
      </c>
      <c r="C182" s="830" t="s">
        <v>6</v>
      </c>
      <c r="D182" s="830" t="s">
        <v>7</v>
      </c>
      <c r="E182" s="830" t="s">
        <v>8</v>
      </c>
      <c r="F182" s="830" t="s">
        <v>9</v>
      </c>
      <c r="G182" s="830" t="s">
        <v>10</v>
      </c>
      <c r="H182" s="830" t="s">
        <v>11</v>
      </c>
      <c r="K182" s="1124"/>
      <c r="L182" s="836"/>
      <c r="M182" s="837"/>
      <c r="N182" s="838" t="s">
        <v>12</v>
      </c>
      <c r="O182" s="838" t="s">
        <v>13</v>
      </c>
      <c r="P182" s="839" t="s">
        <v>391</v>
      </c>
      <c r="Q182" s="839" t="s">
        <v>391</v>
      </c>
      <c r="R182" s="838" t="s">
        <v>15</v>
      </c>
    </row>
    <row r="183" spans="1:18" s="903" customFormat="1" ht="15.75">
      <c r="A183" s="1125"/>
      <c r="B183" s="832"/>
      <c r="C183" s="833"/>
      <c r="D183" s="834" t="s">
        <v>12</v>
      </c>
      <c r="E183" s="834" t="s">
        <v>13</v>
      </c>
      <c r="F183" s="835" t="s">
        <v>14</v>
      </c>
      <c r="G183" s="835" t="s">
        <v>14</v>
      </c>
      <c r="H183" s="834" t="s">
        <v>15</v>
      </c>
      <c r="K183" s="840">
        <v>1</v>
      </c>
      <c r="L183" s="841" t="s">
        <v>70</v>
      </c>
      <c r="M183" s="792">
        <v>4</v>
      </c>
      <c r="N183" s="858">
        <v>1075</v>
      </c>
      <c r="O183" s="775"/>
      <c r="P183" s="775"/>
      <c r="Q183" s="775"/>
      <c r="R183" s="772">
        <v>15</v>
      </c>
    </row>
    <row r="184" spans="1:18" s="861" customFormat="1" ht="15" customHeight="1">
      <c r="A184" s="840">
        <v>1</v>
      </c>
      <c r="B184" s="841" t="s">
        <v>70</v>
      </c>
      <c r="C184" s="792">
        <v>4</v>
      </c>
      <c r="D184" s="858">
        <v>1075</v>
      </c>
      <c r="E184" s="775">
        <v>0</v>
      </c>
      <c r="F184" s="775"/>
      <c r="G184" s="775"/>
      <c r="H184" s="772"/>
      <c r="K184" s="840">
        <v>2</v>
      </c>
      <c r="L184" s="841" t="s">
        <v>48</v>
      </c>
      <c r="M184" s="792">
        <v>1</v>
      </c>
      <c r="N184" s="858">
        <v>178.05</v>
      </c>
      <c r="O184" s="775"/>
      <c r="P184" s="775"/>
      <c r="Q184" s="775"/>
      <c r="R184" s="772">
        <v>91</v>
      </c>
    </row>
    <row r="185" spans="1:18" s="861" customFormat="1" ht="15" customHeight="1">
      <c r="A185" s="840">
        <v>2</v>
      </c>
      <c r="B185" s="841" t="s">
        <v>48</v>
      </c>
      <c r="C185" s="792">
        <v>1</v>
      </c>
      <c r="D185" s="858">
        <v>178.05</v>
      </c>
      <c r="E185" s="775">
        <v>70000</v>
      </c>
      <c r="F185" s="775">
        <v>12600000</v>
      </c>
      <c r="G185" s="775">
        <v>2989000</v>
      </c>
      <c r="H185" s="772">
        <v>85</v>
      </c>
      <c r="K185" s="840">
        <v>3</v>
      </c>
      <c r="L185" s="841" t="s">
        <v>80</v>
      </c>
      <c r="M185" s="792">
        <v>1</v>
      </c>
      <c r="N185" s="858">
        <v>24.55</v>
      </c>
      <c r="O185" s="775">
        <v>850</v>
      </c>
      <c r="P185" s="775">
        <v>8921500</v>
      </c>
      <c r="Q185" s="775">
        <v>31000</v>
      </c>
      <c r="R185" s="772">
        <v>15</v>
      </c>
    </row>
    <row r="186" spans="1:18" ht="15" customHeight="1">
      <c r="A186" s="954">
        <v>3</v>
      </c>
      <c r="B186" s="841" t="s">
        <v>80</v>
      </c>
      <c r="C186" s="792">
        <v>1</v>
      </c>
      <c r="D186" s="858">
        <v>24.55</v>
      </c>
      <c r="E186" s="775">
        <v>7592</v>
      </c>
      <c r="F186" s="775">
        <v>7971600</v>
      </c>
      <c r="G186" s="775">
        <v>2500</v>
      </c>
      <c r="H186" s="772">
        <v>9</v>
      </c>
      <c r="K186" s="840">
        <v>4</v>
      </c>
      <c r="L186" s="841" t="s">
        <v>41</v>
      </c>
      <c r="M186" s="792"/>
      <c r="N186" s="858"/>
      <c r="O186" s="775"/>
      <c r="P186" s="775"/>
      <c r="Q186" s="775"/>
      <c r="R186" s="772"/>
    </row>
    <row r="187" spans="2:18" ht="15" customHeight="1">
      <c r="B187" s="841"/>
      <c r="C187" s="792"/>
      <c r="D187" s="858"/>
      <c r="E187" s="775"/>
      <c r="F187" s="775"/>
      <c r="G187" s="775"/>
      <c r="H187" s="772"/>
      <c r="K187" s="852"/>
      <c r="L187" s="853" t="s">
        <v>19</v>
      </c>
      <c r="M187" s="855">
        <f aca="true" t="shared" si="25" ref="M187:R187">SUM(M183:M186)</f>
        <v>6</v>
      </c>
      <c r="N187" s="866">
        <f t="shared" si="25"/>
        <v>1277.6</v>
      </c>
      <c r="O187" s="855">
        <f t="shared" si="25"/>
        <v>850</v>
      </c>
      <c r="P187" s="855">
        <f t="shared" si="25"/>
        <v>8921500</v>
      </c>
      <c r="Q187" s="855">
        <f t="shared" si="25"/>
        <v>31000</v>
      </c>
      <c r="R187" s="855">
        <f t="shared" si="25"/>
        <v>121</v>
      </c>
    </row>
    <row r="188" spans="1:18" ht="15" customHeight="1">
      <c r="A188" s="846"/>
      <c r="B188" s="847" t="s">
        <v>19</v>
      </c>
      <c r="C188" s="849">
        <f aca="true" t="shared" si="26" ref="C188:H188">SUM(C184:C186)</f>
        <v>6</v>
      </c>
      <c r="D188" s="849">
        <f t="shared" si="26"/>
        <v>1277.6</v>
      </c>
      <c r="E188" s="849">
        <f t="shared" si="26"/>
        <v>77592</v>
      </c>
      <c r="F188" s="849">
        <f t="shared" si="26"/>
        <v>20571600</v>
      </c>
      <c r="G188" s="849">
        <f t="shared" si="26"/>
        <v>2991500</v>
      </c>
      <c r="H188" s="849">
        <f t="shared" si="26"/>
        <v>94</v>
      </c>
      <c r="K188" s="826"/>
      <c r="L188" s="874"/>
      <c r="M188" s="876"/>
      <c r="N188" s="939"/>
      <c r="O188" s="877"/>
      <c r="P188" s="877"/>
      <c r="Q188" s="877"/>
      <c r="R188" s="876"/>
    </row>
    <row r="189" spans="1:18" ht="20.25" customHeight="1">
      <c r="A189" s="826"/>
      <c r="B189" s="874"/>
      <c r="C189" s="876"/>
      <c r="D189" s="939"/>
      <c r="E189" s="877"/>
      <c r="F189" s="877"/>
      <c r="G189" s="877"/>
      <c r="H189" s="876"/>
      <c r="K189" s="826"/>
      <c r="L189" s="827"/>
      <c r="M189" s="807"/>
      <c r="N189" s="828" t="s">
        <v>81</v>
      </c>
      <c r="O189" s="809"/>
      <c r="P189" s="809"/>
      <c r="Q189" s="809"/>
      <c r="R189" s="829"/>
    </row>
    <row r="190" spans="1:18" ht="15" customHeight="1">
      <c r="A190" s="826"/>
      <c r="B190" s="827"/>
      <c r="C190" s="807"/>
      <c r="D190" s="828" t="s">
        <v>81</v>
      </c>
      <c r="E190" s="809"/>
      <c r="F190" s="809"/>
      <c r="G190" s="809"/>
      <c r="H190" s="829"/>
      <c r="K190" s="1124" t="s">
        <v>4</v>
      </c>
      <c r="L190" s="831" t="s">
        <v>5</v>
      </c>
      <c r="M190" s="831" t="s">
        <v>6</v>
      </c>
      <c r="N190" s="831" t="s">
        <v>7</v>
      </c>
      <c r="O190" s="831" t="s">
        <v>8</v>
      </c>
      <c r="P190" s="831" t="s">
        <v>9</v>
      </c>
      <c r="Q190" s="831" t="s">
        <v>10</v>
      </c>
      <c r="R190" s="831" t="s">
        <v>11</v>
      </c>
    </row>
    <row r="191" spans="1:18" ht="15" customHeight="1">
      <c r="A191" s="1125" t="s">
        <v>4</v>
      </c>
      <c r="B191" s="830" t="s">
        <v>5</v>
      </c>
      <c r="C191" s="830" t="s">
        <v>6</v>
      </c>
      <c r="D191" s="830" t="s">
        <v>7</v>
      </c>
      <c r="E191" s="830" t="s">
        <v>8</v>
      </c>
      <c r="F191" s="830" t="s">
        <v>9</v>
      </c>
      <c r="G191" s="830" t="s">
        <v>10</v>
      </c>
      <c r="H191" s="830" t="s">
        <v>11</v>
      </c>
      <c r="K191" s="1124"/>
      <c r="L191" s="836"/>
      <c r="M191" s="837"/>
      <c r="N191" s="838" t="s">
        <v>12</v>
      </c>
      <c r="O191" s="838" t="s">
        <v>13</v>
      </c>
      <c r="P191" s="839" t="s">
        <v>391</v>
      </c>
      <c r="Q191" s="839" t="s">
        <v>391</v>
      </c>
      <c r="R191" s="838" t="s">
        <v>15</v>
      </c>
    </row>
    <row r="192" spans="1:18" s="903" customFormat="1" ht="15.75">
      <c r="A192" s="1125"/>
      <c r="B192" s="832"/>
      <c r="C192" s="833"/>
      <c r="D192" s="834" t="s">
        <v>12</v>
      </c>
      <c r="E192" s="834" t="s">
        <v>13</v>
      </c>
      <c r="F192" s="835" t="s">
        <v>14</v>
      </c>
      <c r="G192" s="835" t="s">
        <v>14</v>
      </c>
      <c r="H192" s="834" t="s">
        <v>15</v>
      </c>
      <c r="K192" s="840">
        <v>1</v>
      </c>
      <c r="L192" s="841" t="s">
        <v>80</v>
      </c>
      <c r="M192" s="955">
        <v>6</v>
      </c>
      <c r="N192" s="956">
        <v>208.33</v>
      </c>
      <c r="O192" s="957"/>
      <c r="P192" s="957"/>
      <c r="Q192" s="957">
        <v>16000</v>
      </c>
      <c r="R192" s="958"/>
    </row>
    <row r="193" spans="1:18" ht="15" customHeight="1">
      <c r="A193" s="840">
        <v>1</v>
      </c>
      <c r="B193" s="841" t="s">
        <v>80</v>
      </c>
      <c r="C193" s="955">
        <v>6</v>
      </c>
      <c r="D193" s="956">
        <v>208.33</v>
      </c>
      <c r="E193" s="957"/>
      <c r="F193" s="957"/>
      <c r="G193" s="957"/>
      <c r="H193" s="958"/>
      <c r="K193" s="840">
        <v>2</v>
      </c>
      <c r="L193" s="841" t="s">
        <v>17</v>
      </c>
      <c r="M193" s="955">
        <v>3</v>
      </c>
      <c r="N193" s="956">
        <v>223.59</v>
      </c>
      <c r="O193" s="957"/>
      <c r="P193" s="957"/>
      <c r="Q193" s="957"/>
      <c r="R193" s="958"/>
    </row>
    <row r="194" spans="1:18" ht="15" customHeight="1">
      <c r="A194" s="840">
        <v>2</v>
      </c>
      <c r="B194" s="841" t="s">
        <v>17</v>
      </c>
      <c r="C194" s="955">
        <v>3</v>
      </c>
      <c r="D194" s="956">
        <v>223.59</v>
      </c>
      <c r="E194" s="957"/>
      <c r="F194" s="957"/>
      <c r="G194" s="957"/>
      <c r="H194" s="958"/>
      <c r="K194" s="846"/>
      <c r="L194" s="853" t="s">
        <v>19</v>
      </c>
      <c r="M194" s="855">
        <f aca="true" t="shared" si="27" ref="M194:R194">SUM(M192:M193)</f>
        <v>9</v>
      </c>
      <c r="N194" s="855">
        <f t="shared" si="27"/>
        <v>431.92</v>
      </c>
      <c r="O194" s="855">
        <f t="shared" si="27"/>
        <v>0</v>
      </c>
      <c r="P194" s="855">
        <f t="shared" si="27"/>
        <v>0</v>
      </c>
      <c r="Q194" s="855">
        <f t="shared" si="27"/>
        <v>16000</v>
      </c>
      <c r="R194" s="855">
        <f t="shared" si="27"/>
        <v>0</v>
      </c>
    </row>
    <row r="195" spans="1:18" ht="15" customHeight="1">
      <c r="A195" s="846">
        <v>3</v>
      </c>
      <c r="B195" s="841" t="s">
        <v>41</v>
      </c>
      <c r="C195" s="955"/>
      <c r="D195" s="956"/>
      <c r="E195" s="957"/>
      <c r="F195" s="957"/>
      <c r="G195" s="957">
        <v>6000</v>
      </c>
      <c r="H195" s="958"/>
      <c r="K195" s="826"/>
      <c r="L195" s="827"/>
      <c r="M195" s="807"/>
      <c r="N195" s="857"/>
      <c r="O195" s="809"/>
      <c r="P195" s="809"/>
      <c r="Q195" s="809"/>
      <c r="R195" s="829"/>
    </row>
    <row r="196" spans="1:18" ht="15" customHeight="1">
      <c r="A196" s="846"/>
      <c r="B196" s="847" t="s">
        <v>19</v>
      </c>
      <c r="C196" s="849">
        <f aca="true" t="shared" si="28" ref="C196:H196">SUM(C193:C195)</f>
        <v>9</v>
      </c>
      <c r="D196" s="849">
        <f t="shared" si="28"/>
        <v>431.92</v>
      </c>
      <c r="E196" s="849">
        <f t="shared" si="28"/>
        <v>0</v>
      </c>
      <c r="F196" s="849">
        <f t="shared" si="28"/>
        <v>0</v>
      </c>
      <c r="G196" s="849">
        <f t="shared" si="28"/>
        <v>6000</v>
      </c>
      <c r="H196" s="849">
        <f t="shared" si="28"/>
        <v>0</v>
      </c>
      <c r="K196" s="826"/>
      <c r="L196" s="827"/>
      <c r="M196" s="807"/>
      <c r="N196" s="828" t="s">
        <v>82</v>
      </c>
      <c r="O196" s="809"/>
      <c r="P196" s="809"/>
      <c r="Q196" s="809"/>
      <c r="R196" s="829"/>
    </row>
    <row r="197" spans="1:18" ht="17.25" customHeight="1">
      <c r="A197" s="826"/>
      <c r="B197" s="827"/>
      <c r="C197" s="807"/>
      <c r="D197" s="857"/>
      <c r="E197" s="809"/>
      <c r="F197" s="809"/>
      <c r="G197" s="809"/>
      <c r="H197" s="829"/>
      <c r="K197" s="1124" t="s">
        <v>4</v>
      </c>
      <c r="L197" s="831" t="s">
        <v>5</v>
      </c>
      <c r="M197" s="831" t="s">
        <v>6</v>
      </c>
      <c r="N197" s="831" t="s">
        <v>7</v>
      </c>
      <c r="O197" s="831" t="s">
        <v>8</v>
      </c>
      <c r="P197" s="831" t="s">
        <v>9</v>
      </c>
      <c r="Q197" s="831" t="s">
        <v>10</v>
      </c>
      <c r="R197" s="831" t="s">
        <v>11</v>
      </c>
    </row>
    <row r="198" spans="1:18" ht="22.5" customHeight="1">
      <c r="A198" s="826"/>
      <c r="B198" s="827"/>
      <c r="C198" s="807"/>
      <c r="D198" s="828" t="s">
        <v>82</v>
      </c>
      <c r="E198" s="809"/>
      <c r="F198" s="809"/>
      <c r="G198" s="809"/>
      <c r="H198" s="829"/>
      <c r="K198" s="1124"/>
      <c r="L198" s="836"/>
      <c r="M198" s="837"/>
      <c r="N198" s="838" t="s">
        <v>12</v>
      </c>
      <c r="O198" s="838" t="s">
        <v>13</v>
      </c>
      <c r="P198" s="839" t="s">
        <v>391</v>
      </c>
      <c r="Q198" s="839" t="s">
        <v>391</v>
      </c>
      <c r="R198" s="838" t="s">
        <v>15</v>
      </c>
    </row>
    <row r="199" spans="1:18" ht="15" customHeight="1">
      <c r="A199" s="1125" t="s">
        <v>4</v>
      </c>
      <c r="B199" s="830" t="s">
        <v>5</v>
      </c>
      <c r="C199" s="830" t="s">
        <v>6</v>
      </c>
      <c r="D199" s="830" t="s">
        <v>7</v>
      </c>
      <c r="E199" s="830" t="s">
        <v>8</v>
      </c>
      <c r="F199" s="830" t="s">
        <v>9</v>
      </c>
      <c r="G199" s="830" t="s">
        <v>10</v>
      </c>
      <c r="H199" s="830" t="s">
        <v>11</v>
      </c>
      <c r="K199" s="840">
        <v>1</v>
      </c>
      <c r="L199" s="841" t="s">
        <v>36</v>
      </c>
      <c r="M199" s="772">
        <v>33</v>
      </c>
      <c r="N199" s="841">
        <v>600.78</v>
      </c>
      <c r="O199" s="775">
        <v>414620</v>
      </c>
      <c r="P199" s="775">
        <v>145117000</v>
      </c>
      <c r="Q199" s="775">
        <v>9926000</v>
      </c>
      <c r="R199" s="772">
        <v>750</v>
      </c>
    </row>
    <row r="200" spans="1:18" s="903" customFormat="1" ht="15.75">
      <c r="A200" s="1125"/>
      <c r="B200" s="832"/>
      <c r="C200" s="833"/>
      <c r="D200" s="834" t="s">
        <v>12</v>
      </c>
      <c r="E200" s="834" t="s">
        <v>13</v>
      </c>
      <c r="F200" s="835" t="s">
        <v>14</v>
      </c>
      <c r="G200" s="835" t="s">
        <v>14</v>
      </c>
      <c r="H200" s="834" t="s">
        <v>15</v>
      </c>
      <c r="K200" s="840">
        <v>2</v>
      </c>
      <c r="L200" s="841" t="s">
        <v>25</v>
      </c>
      <c r="M200" s="772">
        <v>10</v>
      </c>
      <c r="N200" s="841">
        <v>892.48</v>
      </c>
      <c r="O200" s="775">
        <v>9046</v>
      </c>
      <c r="P200" s="775">
        <v>5643600</v>
      </c>
      <c r="Q200" s="775">
        <v>990000</v>
      </c>
      <c r="R200" s="772">
        <v>60</v>
      </c>
    </row>
    <row r="201" spans="1:18" ht="15" customHeight="1">
      <c r="A201" s="840">
        <v>1</v>
      </c>
      <c r="B201" s="841" t="s">
        <v>47</v>
      </c>
      <c r="C201" s="772">
        <v>8</v>
      </c>
      <c r="D201" s="858">
        <v>91.18</v>
      </c>
      <c r="E201" s="775">
        <v>67826</v>
      </c>
      <c r="F201" s="775">
        <v>14921720</v>
      </c>
      <c r="G201" s="775">
        <v>1560000</v>
      </c>
      <c r="H201" s="772">
        <v>300</v>
      </c>
      <c r="K201" s="840">
        <v>3</v>
      </c>
      <c r="L201" s="841" t="s">
        <v>47</v>
      </c>
      <c r="M201" s="772">
        <v>11</v>
      </c>
      <c r="N201" s="841">
        <v>105.655</v>
      </c>
      <c r="O201" s="775">
        <v>24761</v>
      </c>
      <c r="P201" s="775">
        <v>8666350</v>
      </c>
      <c r="Q201" s="775">
        <v>681000</v>
      </c>
      <c r="R201" s="772">
        <v>120</v>
      </c>
    </row>
    <row r="202" spans="1:18" ht="15" customHeight="1">
      <c r="A202" s="840">
        <v>2</v>
      </c>
      <c r="B202" s="841" t="s">
        <v>36</v>
      </c>
      <c r="C202" s="772">
        <v>33</v>
      </c>
      <c r="D202" s="858">
        <v>777.0195</v>
      </c>
      <c r="E202" s="775">
        <v>209912</v>
      </c>
      <c r="F202" s="775">
        <v>50378868</v>
      </c>
      <c r="G202" s="775">
        <v>4198000</v>
      </c>
      <c r="H202" s="772">
        <v>420</v>
      </c>
      <c r="K202" s="840">
        <v>4</v>
      </c>
      <c r="L202" s="841" t="s">
        <v>260</v>
      </c>
      <c r="M202" s="772"/>
      <c r="N202" s="842"/>
      <c r="O202" s="775"/>
      <c r="P202" s="775"/>
      <c r="Q202" s="775">
        <v>4000</v>
      </c>
      <c r="R202" s="772"/>
    </row>
    <row r="203" spans="1:18" s="861" customFormat="1" ht="15" customHeight="1">
      <c r="A203" s="840">
        <v>3</v>
      </c>
      <c r="B203" s="841" t="s">
        <v>25</v>
      </c>
      <c r="C203" s="772">
        <v>11</v>
      </c>
      <c r="D203" s="858">
        <v>900.53</v>
      </c>
      <c r="E203" s="775">
        <v>1874</v>
      </c>
      <c r="F203" s="775">
        <v>749600</v>
      </c>
      <c r="G203" s="775">
        <v>141000</v>
      </c>
      <c r="H203" s="772">
        <v>20</v>
      </c>
      <c r="K203" s="852"/>
      <c r="L203" s="853" t="s">
        <v>19</v>
      </c>
      <c r="M203" s="855">
        <f aca="true" t="shared" si="29" ref="M203:R203">SUM(M199:M202)</f>
        <v>54</v>
      </c>
      <c r="N203" s="866">
        <f t="shared" si="29"/>
        <v>1598.915</v>
      </c>
      <c r="O203" s="856">
        <f t="shared" si="29"/>
        <v>448427</v>
      </c>
      <c r="P203" s="856">
        <f t="shared" si="29"/>
        <v>159426950</v>
      </c>
      <c r="Q203" s="959">
        <f t="shared" si="29"/>
        <v>11601000</v>
      </c>
      <c r="R203" s="855">
        <f t="shared" si="29"/>
        <v>930</v>
      </c>
    </row>
    <row r="204" spans="1:18" ht="15" customHeight="1">
      <c r="A204" s="840">
        <v>4</v>
      </c>
      <c r="B204" s="841" t="s">
        <v>41</v>
      </c>
      <c r="C204" s="772"/>
      <c r="D204" s="842"/>
      <c r="E204" s="775"/>
      <c r="F204" s="775"/>
      <c r="G204" s="775">
        <v>183000</v>
      </c>
      <c r="H204" s="772"/>
      <c r="K204" s="826"/>
      <c r="L204" s="827"/>
      <c r="M204" s="807"/>
      <c r="N204" s="857"/>
      <c r="O204" s="809"/>
      <c r="P204" s="809"/>
      <c r="Q204" s="809"/>
      <c r="R204" s="829"/>
    </row>
    <row r="205" spans="1:18" ht="15" customHeight="1">
      <c r="A205" s="846"/>
      <c r="B205" s="847" t="s">
        <v>19</v>
      </c>
      <c r="C205" s="849">
        <f aca="true" t="shared" si="30" ref="C205:H205">SUM(C201:C204)</f>
        <v>52</v>
      </c>
      <c r="D205" s="864">
        <f t="shared" si="30"/>
        <v>1768.7295</v>
      </c>
      <c r="E205" s="850">
        <f t="shared" si="30"/>
        <v>279612</v>
      </c>
      <c r="F205" s="850">
        <f t="shared" si="30"/>
        <v>66050188</v>
      </c>
      <c r="G205" s="850">
        <f>SUM(G201:G204)</f>
        <v>6082000</v>
      </c>
      <c r="H205" s="849">
        <f t="shared" si="30"/>
        <v>740</v>
      </c>
      <c r="K205" s="826"/>
      <c r="L205" s="827"/>
      <c r="M205" s="807"/>
      <c r="N205" s="828" t="s">
        <v>83</v>
      </c>
      <c r="O205" s="809"/>
      <c r="P205" s="809"/>
      <c r="Q205" s="809"/>
      <c r="R205" s="829"/>
    </row>
    <row r="206" spans="1:18" ht="22.5" customHeight="1">
      <c r="A206" s="826"/>
      <c r="B206" s="827"/>
      <c r="C206" s="807"/>
      <c r="D206" s="857"/>
      <c r="E206" s="809"/>
      <c r="F206" s="809"/>
      <c r="G206" s="809">
        <f>G205+'Office minor'!G299</f>
        <v>20080000</v>
      </c>
      <c r="H206" s="829"/>
      <c r="K206" s="1124" t="s">
        <v>4</v>
      </c>
      <c r="L206" s="831" t="s">
        <v>5</v>
      </c>
      <c r="M206" s="831" t="s">
        <v>6</v>
      </c>
      <c r="N206" s="831" t="s">
        <v>7</v>
      </c>
      <c r="O206" s="831" t="s">
        <v>8</v>
      </c>
      <c r="P206" s="831" t="s">
        <v>9</v>
      </c>
      <c r="Q206" s="831" t="s">
        <v>10</v>
      </c>
      <c r="R206" s="831" t="s">
        <v>11</v>
      </c>
    </row>
    <row r="207" spans="1:18" ht="15" customHeight="1">
      <c r="A207" s="826"/>
      <c r="B207" s="827"/>
      <c r="C207" s="807"/>
      <c r="D207" s="828" t="s">
        <v>83</v>
      </c>
      <c r="E207" s="809"/>
      <c r="F207" s="809"/>
      <c r="G207" s="809"/>
      <c r="H207" s="829"/>
      <c r="K207" s="1124"/>
      <c r="L207" s="836"/>
      <c r="M207" s="837"/>
      <c r="N207" s="838" t="s">
        <v>12</v>
      </c>
      <c r="O207" s="838" t="s">
        <v>13</v>
      </c>
      <c r="P207" s="839" t="s">
        <v>391</v>
      </c>
      <c r="Q207" s="839" t="s">
        <v>391</v>
      </c>
      <c r="R207" s="838" t="s">
        <v>15</v>
      </c>
    </row>
    <row r="208" spans="1:18" ht="15" customHeight="1">
      <c r="A208" s="826"/>
      <c r="B208" s="827"/>
      <c r="C208" s="807"/>
      <c r="D208" s="828"/>
      <c r="E208" s="809"/>
      <c r="F208" s="809"/>
      <c r="G208" s="809"/>
      <c r="H208" s="829"/>
      <c r="K208" s="960">
        <v>1</v>
      </c>
      <c r="L208" s="841" t="s">
        <v>27</v>
      </c>
      <c r="M208" s="833">
        <v>1</v>
      </c>
      <c r="N208" s="834">
        <v>1516.8</v>
      </c>
      <c r="O208" s="834">
        <v>919180</v>
      </c>
      <c r="P208" s="835">
        <v>156260770</v>
      </c>
      <c r="Q208" s="835">
        <v>57908394</v>
      </c>
      <c r="R208" s="834">
        <v>73</v>
      </c>
    </row>
    <row r="209" spans="1:18" ht="19.5" customHeight="1">
      <c r="A209" s="1125" t="s">
        <v>4</v>
      </c>
      <c r="B209" s="830" t="s">
        <v>5</v>
      </c>
      <c r="C209" s="830" t="s">
        <v>6</v>
      </c>
      <c r="D209" s="830" t="s">
        <v>7</v>
      </c>
      <c r="E209" s="830" t="s">
        <v>8</v>
      </c>
      <c r="F209" s="830" t="s">
        <v>9</v>
      </c>
      <c r="G209" s="830" t="s">
        <v>10</v>
      </c>
      <c r="H209" s="830" t="s">
        <v>11</v>
      </c>
      <c r="K209" s="840">
        <v>2</v>
      </c>
      <c r="L209" s="841" t="s">
        <v>384</v>
      </c>
      <c r="M209" s="843"/>
      <c r="N209" s="813"/>
      <c r="O209" s="834"/>
      <c r="P209" s="775"/>
      <c r="Q209" s="843"/>
      <c r="R209" s="772"/>
    </row>
    <row r="210" spans="1:18" s="903" customFormat="1" ht="15.75">
      <c r="A210" s="1125"/>
      <c r="B210" s="832"/>
      <c r="C210" s="833"/>
      <c r="D210" s="834" t="s">
        <v>12</v>
      </c>
      <c r="E210" s="834" t="s">
        <v>13</v>
      </c>
      <c r="F210" s="835" t="s">
        <v>14</v>
      </c>
      <c r="G210" s="835" t="s">
        <v>14</v>
      </c>
      <c r="H210" s="834" t="s">
        <v>15</v>
      </c>
      <c r="K210" s="865"/>
      <c r="L210" s="853" t="s">
        <v>19</v>
      </c>
      <c r="M210" s="856">
        <f aca="true" t="shared" si="31" ref="M210:R210">SUM(M208:M209)</f>
        <v>1</v>
      </c>
      <c r="N210" s="961">
        <f t="shared" si="31"/>
        <v>1516.8</v>
      </c>
      <c r="O210" s="856">
        <f t="shared" si="31"/>
        <v>919180</v>
      </c>
      <c r="P210" s="856">
        <f t="shared" si="31"/>
        <v>156260770</v>
      </c>
      <c r="Q210" s="856">
        <f t="shared" si="31"/>
        <v>57908394</v>
      </c>
      <c r="R210" s="856">
        <f t="shared" si="31"/>
        <v>73</v>
      </c>
    </row>
    <row r="211" spans="1:18" ht="15" customHeight="1">
      <c r="A211" s="840">
        <v>1</v>
      </c>
      <c r="B211" s="841" t="s">
        <v>27</v>
      </c>
      <c r="C211" s="843">
        <v>1</v>
      </c>
      <c r="D211" s="813">
        <v>3980</v>
      </c>
      <c r="E211" s="834">
        <v>778889</v>
      </c>
      <c r="F211" s="775">
        <v>132411130</v>
      </c>
      <c r="G211" s="843">
        <v>34446356</v>
      </c>
      <c r="H211" s="772">
        <v>72</v>
      </c>
      <c r="K211" s="826"/>
      <c r="L211" s="827"/>
      <c r="M211" s="807"/>
      <c r="N211" s="857"/>
      <c r="O211" s="809"/>
      <c r="P211" s="809"/>
      <c r="Q211" s="809"/>
      <c r="R211" s="829"/>
    </row>
    <row r="212" spans="1:18" ht="21.75" customHeight="1">
      <c r="A212" s="840">
        <v>2</v>
      </c>
      <c r="B212" s="841" t="s">
        <v>41</v>
      </c>
      <c r="C212" s="843"/>
      <c r="D212" s="813"/>
      <c r="E212" s="834"/>
      <c r="F212" s="775"/>
      <c r="G212" s="843">
        <v>2500</v>
      </c>
      <c r="H212" s="772"/>
      <c r="K212" s="826"/>
      <c r="L212" s="827"/>
      <c r="M212" s="807"/>
      <c r="N212" s="828" t="s">
        <v>84</v>
      </c>
      <c r="O212" s="809"/>
      <c r="P212" s="809"/>
      <c r="Q212" s="809"/>
      <c r="R212" s="829"/>
    </row>
    <row r="213" spans="1:18" ht="15" customHeight="1">
      <c r="A213" s="840"/>
      <c r="B213" s="847" t="s">
        <v>19</v>
      </c>
      <c r="C213" s="850">
        <f aca="true" t="shared" si="32" ref="C213:H213">SUM(C211:C212)</f>
        <v>1</v>
      </c>
      <c r="D213" s="890">
        <f t="shared" si="32"/>
        <v>3980</v>
      </c>
      <c r="E213" s="850">
        <f t="shared" si="32"/>
        <v>778889</v>
      </c>
      <c r="F213" s="850">
        <f t="shared" si="32"/>
        <v>132411130</v>
      </c>
      <c r="G213" s="850">
        <f t="shared" si="32"/>
        <v>34448856</v>
      </c>
      <c r="H213" s="850">
        <f t="shared" si="32"/>
        <v>72</v>
      </c>
      <c r="K213" s="1124" t="s">
        <v>4</v>
      </c>
      <c r="L213" s="831" t="s">
        <v>5</v>
      </c>
      <c r="M213" s="831" t="s">
        <v>6</v>
      </c>
      <c r="N213" s="831" t="s">
        <v>7</v>
      </c>
      <c r="O213" s="831" t="s">
        <v>8</v>
      </c>
      <c r="P213" s="831" t="s">
        <v>9</v>
      </c>
      <c r="Q213" s="831" t="s">
        <v>10</v>
      </c>
      <c r="R213" s="831" t="s">
        <v>11</v>
      </c>
    </row>
    <row r="214" spans="1:18" ht="15" customHeight="1">
      <c r="A214" s="826"/>
      <c r="B214" s="827"/>
      <c r="C214" s="807"/>
      <c r="D214" s="857"/>
      <c r="E214" s="809"/>
      <c r="F214" s="809"/>
      <c r="G214" s="809"/>
      <c r="H214" s="829"/>
      <c r="K214" s="1124"/>
      <c r="L214" s="836"/>
      <c r="M214" s="837"/>
      <c r="N214" s="838" t="s">
        <v>12</v>
      </c>
      <c r="O214" s="838" t="s">
        <v>13</v>
      </c>
      <c r="P214" s="839" t="s">
        <v>391</v>
      </c>
      <c r="Q214" s="839" t="s">
        <v>391</v>
      </c>
      <c r="R214" s="838" t="s">
        <v>15</v>
      </c>
    </row>
    <row r="215" spans="1:18" ht="18.75" customHeight="1">
      <c r="A215" s="826"/>
      <c r="B215" s="827"/>
      <c r="C215" s="807"/>
      <c r="D215" s="828" t="s">
        <v>84</v>
      </c>
      <c r="E215" s="809"/>
      <c r="F215" s="809"/>
      <c r="G215" s="809"/>
      <c r="H215" s="829"/>
      <c r="K215" s="840">
        <v>1</v>
      </c>
      <c r="L215" s="841" t="s">
        <v>21</v>
      </c>
      <c r="M215" s="962">
        <v>38</v>
      </c>
      <c r="N215" s="963">
        <v>182.89</v>
      </c>
      <c r="O215" s="964">
        <v>315383.23</v>
      </c>
      <c r="P215" s="965">
        <v>123945609</v>
      </c>
      <c r="Q215" s="965">
        <v>11361000</v>
      </c>
      <c r="R215" s="958">
        <v>400</v>
      </c>
    </row>
    <row r="216" spans="1:18" ht="15" customHeight="1">
      <c r="A216" s="1125" t="s">
        <v>4</v>
      </c>
      <c r="B216" s="830" t="s">
        <v>5</v>
      </c>
      <c r="C216" s="830" t="s">
        <v>6</v>
      </c>
      <c r="D216" s="830" t="s">
        <v>7</v>
      </c>
      <c r="E216" s="830" t="s">
        <v>8</v>
      </c>
      <c r="F216" s="830" t="s">
        <v>9</v>
      </c>
      <c r="G216" s="830" t="s">
        <v>10</v>
      </c>
      <c r="H216" s="830" t="s">
        <v>11</v>
      </c>
      <c r="K216" s="840">
        <v>2</v>
      </c>
      <c r="L216" s="841" t="s">
        <v>17</v>
      </c>
      <c r="M216" s="962">
        <v>8</v>
      </c>
      <c r="N216" s="963">
        <v>138.75</v>
      </c>
      <c r="O216" s="964">
        <v>200</v>
      </c>
      <c r="P216" s="965">
        <v>38200</v>
      </c>
      <c r="Q216" s="965">
        <v>9000</v>
      </c>
      <c r="R216" s="958">
        <v>5</v>
      </c>
    </row>
    <row r="217" spans="1:18" s="903" customFormat="1" ht="15.75">
      <c r="A217" s="1125"/>
      <c r="B217" s="832"/>
      <c r="C217" s="833"/>
      <c r="D217" s="834" t="s">
        <v>12</v>
      </c>
      <c r="E217" s="834" t="s">
        <v>13</v>
      </c>
      <c r="F217" s="835" t="s">
        <v>14</v>
      </c>
      <c r="G217" s="835" t="s">
        <v>14</v>
      </c>
      <c r="H217" s="834" t="s">
        <v>15</v>
      </c>
      <c r="K217" s="840">
        <v>3</v>
      </c>
      <c r="L217" s="841" t="s">
        <v>47</v>
      </c>
      <c r="M217" s="962">
        <v>6</v>
      </c>
      <c r="N217" s="963">
        <v>1642.01</v>
      </c>
      <c r="O217" s="966">
        <v>54139</v>
      </c>
      <c r="P217" s="965">
        <v>26149079</v>
      </c>
      <c r="Q217" s="965">
        <v>1949000</v>
      </c>
      <c r="R217" s="958">
        <v>300</v>
      </c>
    </row>
    <row r="218" spans="1:18" ht="15" customHeight="1">
      <c r="A218" s="840">
        <v>1</v>
      </c>
      <c r="B218" s="841" t="s">
        <v>33</v>
      </c>
      <c r="C218" s="962">
        <v>2</v>
      </c>
      <c r="D218" s="967">
        <v>56.8</v>
      </c>
      <c r="E218" s="968">
        <v>18405</v>
      </c>
      <c r="F218" s="957">
        <f>E218*450</f>
        <v>8282250</v>
      </c>
      <c r="G218" s="957">
        <v>386000</v>
      </c>
      <c r="H218" s="958">
        <v>25</v>
      </c>
      <c r="K218" s="840">
        <v>4</v>
      </c>
      <c r="L218" s="841" t="s">
        <v>39</v>
      </c>
      <c r="M218" s="962">
        <v>1</v>
      </c>
      <c r="N218" s="963">
        <v>60.56</v>
      </c>
      <c r="O218" s="964"/>
      <c r="P218" s="965">
        <v>0</v>
      </c>
      <c r="Q218" s="965">
        <v>0</v>
      </c>
      <c r="R218" s="958">
        <v>0</v>
      </c>
    </row>
    <row r="219" spans="1:18" ht="15" customHeight="1">
      <c r="A219" s="840">
        <v>2</v>
      </c>
      <c r="B219" s="841" t="s">
        <v>47</v>
      </c>
      <c r="C219" s="962">
        <v>2</v>
      </c>
      <c r="D219" s="962">
        <v>60</v>
      </c>
      <c r="E219" s="968">
        <v>29400</v>
      </c>
      <c r="F219" s="957">
        <f>E219*600</f>
        <v>17640000</v>
      </c>
      <c r="G219" s="957">
        <v>601000</v>
      </c>
      <c r="H219" s="958">
        <v>92</v>
      </c>
      <c r="K219" s="840">
        <v>5</v>
      </c>
      <c r="L219" s="841" t="s">
        <v>36</v>
      </c>
      <c r="M219" s="962">
        <v>1</v>
      </c>
      <c r="N219" s="963">
        <v>66.5</v>
      </c>
      <c r="O219" s="964"/>
      <c r="P219" s="965">
        <v>0</v>
      </c>
      <c r="Q219" s="965">
        <v>50000</v>
      </c>
      <c r="R219" s="958">
        <v>0</v>
      </c>
    </row>
    <row r="220" spans="1:18" ht="15" customHeight="1">
      <c r="A220" s="840">
        <v>3</v>
      </c>
      <c r="B220" s="841" t="s">
        <v>39</v>
      </c>
      <c r="C220" s="962">
        <v>1</v>
      </c>
      <c r="D220" s="962">
        <v>60.57</v>
      </c>
      <c r="E220" s="957"/>
      <c r="F220" s="957"/>
      <c r="G220" s="957">
        <v>0</v>
      </c>
      <c r="H220" s="958">
        <v>0</v>
      </c>
      <c r="K220" s="840">
        <v>6</v>
      </c>
      <c r="L220" s="841" t="s">
        <v>33</v>
      </c>
      <c r="M220" s="962">
        <v>3</v>
      </c>
      <c r="N220" s="963">
        <v>14.44</v>
      </c>
      <c r="O220" s="964">
        <v>25391</v>
      </c>
      <c r="P220" s="965">
        <v>7439563</v>
      </c>
      <c r="Q220" s="965">
        <v>704000</v>
      </c>
      <c r="R220" s="958">
        <v>310</v>
      </c>
    </row>
    <row r="221" spans="1:18" ht="15" customHeight="1">
      <c r="A221" s="840">
        <v>4</v>
      </c>
      <c r="B221" s="841" t="s">
        <v>21</v>
      </c>
      <c r="C221" s="962">
        <v>30</v>
      </c>
      <c r="D221" s="962">
        <v>134.6255</v>
      </c>
      <c r="E221" s="968">
        <v>31548.7</v>
      </c>
      <c r="F221" s="957">
        <f>E221*200</f>
        <v>6309740</v>
      </c>
      <c r="G221" s="957">
        <v>1295000</v>
      </c>
      <c r="H221" s="958">
        <v>50</v>
      </c>
      <c r="K221" s="840">
        <v>7</v>
      </c>
      <c r="L221" s="841" t="s">
        <v>27</v>
      </c>
      <c r="M221" s="962">
        <v>2</v>
      </c>
      <c r="N221" s="963">
        <v>581.15</v>
      </c>
      <c r="O221" s="965">
        <v>4220668</v>
      </c>
      <c r="P221" s="965">
        <v>1477233800</v>
      </c>
      <c r="Q221" s="965">
        <v>274982000</v>
      </c>
      <c r="R221" s="958">
        <v>4500</v>
      </c>
    </row>
    <row r="222" spans="1:18" ht="15" customHeight="1">
      <c r="A222" s="840">
        <v>5</v>
      </c>
      <c r="B222" s="841" t="s">
        <v>17</v>
      </c>
      <c r="C222" s="962">
        <v>15</v>
      </c>
      <c r="D222" s="962">
        <v>85.55</v>
      </c>
      <c r="E222" s="968">
        <v>5166.1</v>
      </c>
      <c r="F222" s="957">
        <f>E222*225</f>
        <v>1162372.5</v>
      </c>
      <c r="G222" s="957">
        <v>84000</v>
      </c>
      <c r="H222" s="958">
        <v>80</v>
      </c>
      <c r="K222" s="846">
        <v>8</v>
      </c>
      <c r="L222" s="841" t="s">
        <v>358</v>
      </c>
      <c r="M222" s="962">
        <v>2</v>
      </c>
      <c r="N222" s="963">
        <v>212.95</v>
      </c>
      <c r="O222" s="957"/>
      <c r="P222" s="965">
        <v>0</v>
      </c>
      <c r="Q222" s="965">
        <v>0</v>
      </c>
      <c r="R222" s="958"/>
    </row>
    <row r="223" spans="1:18" ht="15" customHeight="1">
      <c r="A223" s="840"/>
      <c r="B223" s="841"/>
      <c r="C223" s="962"/>
      <c r="D223" s="962"/>
      <c r="E223" s="968"/>
      <c r="F223" s="957"/>
      <c r="G223" s="957"/>
      <c r="H223" s="958"/>
      <c r="K223" s="846">
        <v>9</v>
      </c>
      <c r="L223" s="841" t="s">
        <v>31</v>
      </c>
      <c r="M223" s="962">
        <v>1</v>
      </c>
      <c r="N223" s="963">
        <v>296.41</v>
      </c>
      <c r="O223" s="957">
        <v>0</v>
      </c>
      <c r="P223" s="965">
        <v>0</v>
      </c>
      <c r="Q223" s="965">
        <v>0</v>
      </c>
      <c r="R223" s="958">
        <v>0</v>
      </c>
    </row>
    <row r="224" spans="1:18" ht="15" customHeight="1">
      <c r="A224" s="840">
        <v>6</v>
      </c>
      <c r="B224" s="841" t="s">
        <v>27</v>
      </c>
      <c r="C224" s="962">
        <v>1</v>
      </c>
      <c r="D224" s="962">
        <v>548.78</v>
      </c>
      <c r="E224" s="968">
        <v>144576</v>
      </c>
      <c r="F224" s="957">
        <f>E224*350</f>
        <v>50601600</v>
      </c>
      <c r="G224" s="957">
        <v>10896000</v>
      </c>
      <c r="H224" s="958">
        <v>6604</v>
      </c>
      <c r="K224" s="852"/>
      <c r="L224" s="853" t="s">
        <v>19</v>
      </c>
      <c r="M224" s="855">
        <f>SUM(M215:M223)</f>
        <v>62</v>
      </c>
      <c r="N224" s="961">
        <f>SUM(N215:N223)</f>
        <v>3195.66</v>
      </c>
      <c r="O224" s="856">
        <f>SUM(O215:O222)</f>
        <v>4615781.23</v>
      </c>
      <c r="P224" s="969">
        <f>SUM(P215:P222)</f>
        <v>1634806251</v>
      </c>
      <c r="Q224" s="969">
        <f>Q215+Q216+Q217+Q218+Q219+Q220+Q221</f>
        <v>289055000</v>
      </c>
      <c r="R224" s="856">
        <f>SUM(R215:R222)</f>
        <v>5515</v>
      </c>
    </row>
    <row r="225" spans="1:18" ht="15" customHeight="1">
      <c r="A225" s="840">
        <v>7</v>
      </c>
      <c r="B225" s="841" t="s">
        <v>36</v>
      </c>
      <c r="C225" s="962">
        <v>1</v>
      </c>
      <c r="D225" s="967">
        <v>66.5</v>
      </c>
      <c r="E225" s="957"/>
      <c r="F225" s="957"/>
      <c r="G225" s="957">
        <v>0</v>
      </c>
      <c r="H225" s="958">
        <v>0</v>
      </c>
      <c r="K225" s="826"/>
      <c r="L225" s="827"/>
      <c r="M225" s="807"/>
      <c r="N225" s="857"/>
      <c r="O225" s="809"/>
      <c r="P225" s="809"/>
      <c r="Q225" s="809"/>
      <c r="R225" s="829"/>
    </row>
    <row r="226" spans="1:18" ht="15" customHeight="1">
      <c r="A226" s="846"/>
      <c r="B226" s="841"/>
      <c r="C226" s="962"/>
      <c r="D226" s="967"/>
      <c r="E226" s="957"/>
      <c r="F226" s="957"/>
      <c r="G226" s="957"/>
      <c r="H226" s="958"/>
      <c r="K226" s="826"/>
      <c r="L226" s="827"/>
      <c r="M226" s="807"/>
      <c r="N226" s="828" t="s">
        <v>85</v>
      </c>
      <c r="O226" s="809"/>
      <c r="P226" s="809"/>
      <c r="Q226" s="809"/>
      <c r="R226" s="829"/>
    </row>
    <row r="227" spans="1:18" ht="15" customHeight="1">
      <c r="A227" s="846"/>
      <c r="B227" s="847" t="s">
        <v>19</v>
      </c>
      <c r="C227" s="849">
        <f aca="true" t="shared" si="33" ref="C227:H227">SUM(C218:C225)</f>
        <v>52</v>
      </c>
      <c r="D227" s="849">
        <f t="shared" si="33"/>
        <v>1012.8254999999999</v>
      </c>
      <c r="E227" s="850">
        <f t="shared" si="33"/>
        <v>229095.8</v>
      </c>
      <c r="F227" s="850">
        <f t="shared" si="33"/>
        <v>83995962.5</v>
      </c>
      <c r="G227" s="850">
        <f t="shared" si="33"/>
        <v>13262000</v>
      </c>
      <c r="H227" s="849">
        <f t="shared" si="33"/>
        <v>6851</v>
      </c>
      <c r="K227" s="1124" t="s">
        <v>4</v>
      </c>
      <c r="L227" s="831" t="s">
        <v>5</v>
      </c>
      <c r="M227" s="831" t="s">
        <v>6</v>
      </c>
      <c r="N227" s="831" t="s">
        <v>7</v>
      </c>
      <c r="O227" s="831" t="s">
        <v>8</v>
      </c>
      <c r="P227" s="831" t="s">
        <v>9</v>
      </c>
      <c r="Q227" s="831" t="s">
        <v>10</v>
      </c>
      <c r="R227" s="831" t="s">
        <v>11</v>
      </c>
    </row>
    <row r="228" spans="1:18" ht="14.25" customHeight="1">
      <c r="A228" s="826"/>
      <c r="B228" s="827"/>
      <c r="C228" s="807"/>
      <c r="D228" s="857"/>
      <c r="E228" s="809"/>
      <c r="F228" s="809"/>
      <c r="G228" s="809"/>
      <c r="H228" s="829"/>
      <c r="K228" s="1124"/>
      <c r="L228" s="836"/>
      <c r="M228" s="837"/>
      <c r="N228" s="838" t="s">
        <v>12</v>
      </c>
      <c r="O228" s="838" t="s">
        <v>13</v>
      </c>
      <c r="P228" s="839" t="s">
        <v>391</v>
      </c>
      <c r="Q228" s="839" t="s">
        <v>391</v>
      </c>
      <c r="R228" s="838" t="s">
        <v>15</v>
      </c>
    </row>
    <row r="229" spans="1:18" ht="15" customHeight="1">
      <c r="A229" s="826"/>
      <c r="B229" s="827"/>
      <c r="C229" s="807"/>
      <c r="D229" s="828" t="s">
        <v>85</v>
      </c>
      <c r="E229" s="809"/>
      <c r="F229" s="809"/>
      <c r="G229" s="809"/>
      <c r="H229" s="829"/>
      <c r="K229" s="840">
        <v>1</v>
      </c>
      <c r="L229" s="841" t="s">
        <v>72</v>
      </c>
      <c r="M229" s="970">
        <v>3</v>
      </c>
      <c r="N229" s="858">
        <v>14.36</v>
      </c>
      <c r="O229" s="775"/>
      <c r="P229" s="775"/>
      <c r="Q229" s="775">
        <v>15000</v>
      </c>
      <c r="R229" s="772"/>
    </row>
    <row r="230" spans="1:18" ht="15" customHeight="1">
      <c r="A230" s="1125" t="s">
        <v>4</v>
      </c>
      <c r="B230" s="830" t="s">
        <v>5</v>
      </c>
      <c r="C230" s="830" t="s">
        <v>6</v>
      </c>
      <c r="D230" s="830" t="s">
        <v>7</v>
      </c>
      <c r="E230" s="830" t="s">
        <v>8</v>
      </c>
      <c r="F230" s="830" t="s">
        <v>9</v>
      </c>
      <c r="G230" s="830" t="s">
        <v>10</v>
      </c>
      <c r="H230" s="830" t="s">
        <v>11</v>
      </c>
      <c r="K230" s="852"/>
      <c r="L230" s="853" t="s">
        <v>19</v>
      </c>
      <c r="M230" s="855">
        <f aca="true" t="shared" si="34" ref="M230:R230">SUM(M228:M229)</f>
        <v>3</v>
      </c>
      <c r="N230" s="866">
        <f t="shared" si="34"/>
        <v>14.36</v>
      </c>
      <c r="O230" s="856">
        <f t="shared" si="34"/>
        <v>0</v>
      </c>
      <c r="P230" s="856">
        <f t="shared" si="34"/>
        <v>0</v>
      </c>
      <c r="Q230" s="856">
        <f t="shared" si="34"/>
        <v>15000</v>
      </c>
      <c r="R230" s="855">
        <f t="shared" si="34"/>
        <v>0</v>
      </c>
    </row>
    <row r="231" spans="1:18" ht="15" customHeight="1">
      <c r="A231" s="1125"/>
      <c r="B231" s="830"/>
      <c r="C231" s="830"/>
      <c r="D231" s="830"/>
      <c r="E231" s="830"/>
      <c r="F231" s="830"/>
      <c r="G231" s="830"/>
      <c r="H231" s="830"/>
      <c r="K231" s="826"/>
      <c r="L231" s="938"/>
      <c r="M231" s="876"/>
      <c r="N231" s="876"/>
      <c r="O231" s="877"/>
      <c r="P231" s="877"/>
      <c r="Q231" s="877"/>
      <c r="R231" s="876"/>
    </row>
    <row r="232" spans="1:18" s="903" customFormat="1" ht="18.75">
      <c r="A232" s="1125"/>
      <c r="B232" s="832"/>
      <c r="C232" s="833"/>
      <c r="D232" s="834" t="s">
        <v>12</v>
      </c>
      <c r="E232" s="834" t="s">
        <v>13</v>
      </c>
      <c r="F232" s="835" t="s">
        <v>14</v>
      </c>
      <c r="G232" s="835" t="s">
        <v>14</v>
      </c>
      <c r="H232" s="834" t="s">
        <v>15</v>
      </c>
      <c r="K232" s="826"/>
      <c r="L232" s="874"/>
      <c r="M232" s="876"/>
      <c r="N232" s="876"/>
      <c r="O232" s="877"/>
      <c r="P232" s="877"/>
      <c r="Q232" s="877"/>
      <c r="R232" s="876"/>
    </row>
    <row r="233" spans="1:18" ht="15" customHeight="1">
      <c r="A233" s="840">
        <v>1</v>
      </c>
      <c r="B233" s="841" t="s">
        <v>72</v>
      </c>
      <c r="C233" s="970">
        <v>3</v>
      </c>
      <c r="D233" s="772">
        <v>14.36</v>
      </c>
      <c r="E233" s="775"/>
      <c r="F233" s="775"/>
      <c r="G233" s="775">
        <v>5000</v>
      </c>
      <c r="H233" s="772">
        <v>9</v>
      </c>
      <c r="K233" s="826"/>
      <c r="L233" s="827"/>
      <c r="M233" s="807"/>
      <c r="N233" s="828" t="s">
        <v>86</v>
      </c>
      <c r="O233" s="809"/>
      <c r="P233" s="809"/>
      <c r="Q233" s="809"/>
      <c r="R233" s="829"/>
    </row>
    <row r="234" spans="1:18" ht="15" customHeight="1">
      <c r="A234" s="846"/>
      <c r="B234" s="847" t="s">
        <v>19</v>
      </c>
      <c r="C234" s="849">
        <f aca="true" t="shared" si="35" ref="C234:H234">SUM(C232:C233)</f>
        <v>3</v>
      </c>
      <c r="D234" s="849">
        <f t="shared" si="35"/>
        <v>14.36</v>
      </c>
      <c r="E234" s="850">
        <f t="shared" si="35"/>
        <v>0</v>
      </c>
      <c r="F234" s="850">
        <f t="shared" si="35"/>
        <v>0</v>
      </c>
      <c r="G234" s="850">
        <f t="shared" si="35"/>
        <v>5000</v>
      </c>
      <c r="H234" s="849">
        <f t="shared" si="35"/>
        <v>9</v>
      </c>
      <c r="K234" s="1124" t="s">
        <v>4</v>
      </c>
      <c r="L234" s="831" t="s">
        <v>5</v>
      </c>
      <c r="M234" s="831" t="s">
        <v>6</v>
      </c>
      <c r="N234" s="831" t="s">
        <v>7</v>
      </c>
      <c r="O234" s="831" t="s">
        <v>8</v>
      </c>
      <c r="P234" s="831" t="s">
        <v>9</v>
      </c>
      <c r="Q234" s="831" t="s">
        <v>10</v>
      </c>
      <c r="R234" s="831" t="s">
        <v>11</v>
      </c>
    </row>
    <row r="235" spans="1:18" ht="15" customHeight="1">
      <c r="A235" s="826"/>
      <c r="B235" s="874"/>
      <c r="C235" s="876"/>
      <c r="D235" s="876"/>
      <c r="E235" s="877"/>
      <c r="F235" s="877"/>
      <c r="G235" s="877"/>
      <c r="H235" s="876"/>
      <c r="K235" s="1124"/>
      <c r="L235" s="836"/>
      <c r="M235" s="837"/>
      <c r="N235" s="838" t="s">
        <v>12</v>
      </c>
      <c r="O235" s="838" t="s">
        <v>13</v>
      </c>
      <c r="P235" s="839" t="s">
        <v>391</v>
      </c>
      <c r="Q235" s="839" t="s">
        <v>391</v>
      </c>
      <c r="R235" s="838" t="s">
        <v>15</v>
      </c>
    </row>
    <row r="236" spans="1:18" ht="18" customHeight="1">
      <c r="A236" s="826"/>
      <c r="B236" s="827"/>
      <c r="C236" s="807"/>
      <c r="D236" s="828" t="s">
        <v>86</v>
      </c>
      <c r="E236" s="809"/>
      <c r="F236" s="809"/>
      <c r="G236" s="809"/>
      <c r="H236" s="829"/>
      <c r="K236" s="971">
        <v>1</v>
      </c>
      <c r="L236" s="972" t="s">
        <v>48</v>
      </c>
      <c r="M236" s="973">
        <v>2</v>
      </c>
      <c r="N236" s="974">
        <v>1993.02</v>
      </c>
      <c r="O236" s="973">
        <v>349577</v>
      </c>
      <c r="P236" s="973">
        <v>125847644</v>
      </c>
      <c r="Q236" s="975">
        <v>39705000</v>
      </c>
      <c r="R236" s="973">
        <v>90</v>
      </c>
    </row>
    <row r="237" spans="1:18" ht="15" customHeight="1">
      <c r="A237" s="1125" t="s">
        <v>4</v>
      </c>
      <c r="B237" s="830" t="s">
        <v>5</v>
      </c>
      <c r="C237" s="830" t="s">
        <v>6</v>
      </c>
      <c r="D237" s="830" t="s">
        <v>7</v>
      </c>
      <c r="E237" s="830" t="s">
        <v>8</v>
      </c>
      <c r="F237" s="830" t="s">
        <v>9</v>
      </c>
      <c r="G237" s="830" t="s">
        <v>10</v>
      </c>
      <c r="H237" s="830" t="s">
        <v>11</v>
      </c>
      <c r="K237" s="971">
        <v>2</v>
      </c>
      <c r="L237" s="972" t="s">
        <v>43</v>
      </c>
      <c r="M237" s="973">
        <v>1</v>
      </c>
      <c r="N237" s="974">
        <v>1065.35</v>
      </c>
      <c r="O237" s="973">
        <v>278845</v>
      </c>
      <c r="P237" s="973">
        <v>83653500</v>
      </c>
      <c r="Q237" s="975">
        <v>26500000</v>
      </c>
      <c r="R237" s="973">
        <v>55</v>
      </c>
    </row>
    <row r="238" spans="1:18" s="903" customFormat="1" ht="15.75">
      <c r="A238" s="1125"/>
      <c r="B238" s="832"/>
      <c r="C238" s="833"/>
      <c r="D238" s="834" t="s">
        <v>12</v>
      </c>
      <c r="E238" s="834" t="s">
        <v>13</v>
      </c>
      <c r="F238" s="835" t="s">
        <v>14</v>
      </c>
      <c r="G238" s="835" t="s">
        <v>14</v>
      </c>
      <c r="H238" s="834" t="s">
        <v>15</v>
      </c>
      <c r="K238" s="971">
        <v>3</v>
      </c>
      <c r="L238" s="972" t="s">
        <v>27</v>
      </c>
      <c r="M238" s="973">
        <v>3</v>
      </c>
      <c r="N238" s="974">
        <v>348.719</v>
      </c>
      <c r="O238" s="973">
        <v>88809.52</v>
      </c>
      <c r="P238" s="973">
        <v>15585714</v>
      </c>
      <c r="Q238" s="975">
        <v>5595000</v>
      </c>
      <c r="R238" s="973">
        <v>94</v>
      </c>
    </row>
    <row r="239" spans="1:18" ht="15" customHeight="1">
      <c r="A239" s="840">
        <v>1</v>
      </c>
      <c r="B239" s="841" t="s">
        <v>48</v>
      </c>
      <c r="C239" s="843">
        <v>2</v>
      </c>
      <c r="D239" s="843">
        <v>1993.02</v>
      </c>
      <c r="E239" s="843">
        <v>339447</v>
      </c>
      <c r="F239" s="843">
        <v>59403225</v>
      </c>
      <c r="G239" s="821">
        <v>25142000</v>
      </c>
      <c r="H239" s="843">
        <v>40</v>
      </c>
      <c r="K239" s="976">
        <v>4</v>
      </c>
      <c r="L239" s="972" t="s">
        <v>87</v>
      </c>
      <c r="M239" s="973">
        <v>18</v>
      </c>
      <c r="N239" s="974">
        <v>75.2128</v>
      </c>
      <c r="O239" s="973">
        <v>158958</v>
      </c>
      <c r="P239" s="973">
        <v>47687500</v>
      </c>
      <c r="Q239" s="975">
        <v>3815000</v>
      </c>
      <c r="R239" s="973">
        <v>56</v>
      </c>
    </row>
    <row r="240" spans="1:18" ht="15" customHeight="1">
      <c r="A240" s="840">
        <v>2</v>
      </c>
      <c r="B240" s="841" t="s">
        <v>43</v>
      </c>
      <c r="C240" s="843">
        <v>1</v>
      </c>
      <c r="D240" s="843">
        <v>1065.35</v>
      </c>
      <c r="E240" s="843" t="s">
        <v>53</v>
      </c>
      <c r="F240" s="843" t="s">
        <v>53</v>
      </c>
      <c r="G240" s="821">
        <v>425000</v>
      </c>
      <c r="H240" s="843" t="s">
        <v>53</v>
      </c>
      <c r="K240" s="852"/>
      <c r="L240" s="853" t="s">
        <v>19</v>
      </c>
      <c r="M240" s="855">
        <f aca="true" t="shared" si="36" ref="M240:R240">SUM(M235:M239)</f>
        <v>24</v>
      </c>
      <c r="N240" s="855">
        <f t="shared" si="36"/>
        <v>3482.3017999999997</v>
      </c>
      <c r="O240" s="856">
        <f t="shared" si="36"/>
        <v>876189.52</v>
      </c>
      <c r="P240" s="856">
        <f t="shared" si="36"/>
        <v>272774358</v>
      </c>
      <c r="Q240" s="856">
        <f t="shared" si="36"/>
        <v>75615000</v>
      </c>
      <c r="R240" s="855">
        <f t="shared" si="36"/>
        <v>295</v>
      </c>
    </row>
    <row r="241" spans="1:18" ht="15" customHeight="1">
      <c r="A241" s="840">
        <v>3</v>
      </c>
      <c r="B241" s="841" t="s">
        <v>27</v>
      </c>
      <c r="C241" s="843">
        <v>3</v>
      </c>
      <c r="D241" s="843">
        <v>348.719</v>
      </c>
      <c r="E241" s="843">
        <v>20203</v>
      </c>
      <c r="F241" s="843">
        <v>4040600</v>
      </c>
      <c r="G241" s="821">
        <v>1345000</v>
      </c>
      <c r="H241" s="843">
        <v>35</v>
      </c>
      <c r="K241" s="826"/>
      <c r="L241" s="827"/>
      <c r="M241" s="807"/>
      <c r="N241" s="857"/>
      <c r="O241" s="809"/>
      <c r="P241" s="809"/>
      <c r="Q241" s="809"/>
      <c r="R241" s="829"/>
    </row>
    <row r="242" spans="1:18" ht="21" customHeight="1">
      <c r="A242" s="867">
        <v>4</v>
      </c>
      <c r="B242" s="841" t="s">
        <v>87</v>
      </c>
      <c r="C242" s="843">
        <v>9</v>
      </c>
      <c r="D242" s="813">
        <v>38.4</v>
      </c>
      <c r="E242" s="843">
        <v>600</v>
      </c>
      <c r="F242" s="843">
        <v>135000</v>
      </c>
      <c r="G242" s="821">
        <v>150000</v>
      </c>
      <c r="H242" s="843">
        <v>15</v>
      </c>
      <c r="K242" s="826"/>
      <c r="L242" s="827"/>
      <c r="M242" s="807"/>
      <c r="N242" s="828" t="s">
        <v>88</v>
      </c>
      <c r="O242" s="828"/>
      <c r="P242" s="809"/>
      <c r="Q242" s="809"/>
      <c r="R242" s="829"/>
    </row>
    <row r="243" spans="1:18" ht="15" customHeight="1">
      <c r="A243" s="846"/>
      <c r="B243" s="847" t="s">
        <v>19</v>
      </c>
      <c r="C243" s="849">
        <f aca="true" t="shared" si="37" ref="C243:H243">SUM(C238:C242)</f>
        <v>15</v>
      </c>
      <c r="D243" s="849">
        <f t="shared" si="37"/>
        <v>3445.489</v>
      </c>
      <c r="E243" s="850">
        <f t="shared" si="37"/>
        <v>360250</v>
      </c>
      <c r="F243" s="850">
        <f t="shared" si="37"/>
        <v>63578825</v>
      </c>
      <c r="G243" s="850">
        <f t="shared" si="37"/>
        <v>27062000</v>
      </c>
      <c r="H243" s="849">
        <f t="shared" si="37"/>
        <v>90</v>
      </c>
      <c r="K243" s="1124" t="s">
        <v>4</v>
      </c>
      <c r="L243" s="831" t="s">
        <v>5</v>
      </c>
      <c r="M243" s="831" t="s">
        <v>6</v>
      </c>
      <c r="N243" s="831" t="s">
        <v>7</v>
      </c>
      <c r="O243" s="831" t="s">
        <v>8</v>
      </c>
      <c r="P243" s="831" t="s">
        <v>9</v>
      </c>
      <c r="Q243" s="831" t="s">
        <v>10</v>
      </c>
      <c r="R243" s="831" t="s">
        <v>11</v>
      </c>
    </row>
    <row r="244" spans="1:18" ht="15" customHeight="1">
      <c r="A244" s="826"/>
      <c r="B244" s="827"/>
      <c r="C244" s="807"/>
      <c r="D244" s="857"/>
      <c r="E244" s="809"/>
      <c r="F244" s="809"/>
      <c r="G244" s="809"/>
      <c r="H244" s="829"/>
      <c r="K244" s="1124"/>
      <c r="L244" s="836"/>
      <c r="M244" s="837"/>
      <c r="N244" s="838" t="s">
        <v>12</v>
      </c>
      <c r="O244" s="838" t="s">
        <v>13</v>
      </c>
      <c r="P244" s="839" t="s">
        <v>391</v>
      </c>
      <c r="Q244" s="839" t="s">
        <v>391</v>
      </c>
      <c r="R244" s="838" t="s">
        <v>15</v>
      </c>
    </row>
    <row r="245" spans="1:18" ht="15" customHeight="1">
      <c r="A245" s="826"/>
      <c r="B245" s="827"/>
      <c r="C245" s="807"/>
      <c r="D245" s="828" t="s">
        <v>88</v>
      </c>
      <c r="E245" s="828"/>
      <c r="F245" s="809"/>
      <c r="G245" s="809"/>
      <c r="H245" s="829"/>
      <c r="K245" s="904">
        <v>1</v>
      </c>
      <c r="L245" s="841" t="s">
        <v>27</v>
      </c>
      <c r="M245" s="792">
        <v>7</v>
      </c>
      <c r="N245" s="841">
        <v>3612.605</v>
      </c>
      <c r="O245" s="775">
        <v>6220948</v>
      </c>
      <c r="P245" s="775">
        <v>933142200</v>
      </c>
      <c r="Q245" s="775">
        <v>393166046</v>
      </c>
      <c r="R245" s="772">
        <v>335</v>
      </c>
    </row>
    <row r="246" spans="1:18" ht="15" customHeight="1">
      <c r="A246" s="1125" t="s">
        <v>4</v>
      </c>
      <c r="B246" s="830" t="s">
        <v>5</v>
      </c>
      <c r="C246" s="830" t="s">
        <v>6</v>
      </c>
      <c r="D246" s="830" t="s">
        <v>7</v>
      </c>
      <c r="E246" s="830" t="s">
        <v>8</v>
      </c>
      <c r="F246" s="830" t="s">
        <v>9</v>
      </c>
      <c r="G246" s="830" t="s">
        <v>10</v>
      </c>
      <c r="H246" s="830" t="s">
        <v>11</v>
      </c>
      <c r="K246" s="840">
        <v>2</v>
      </c>
      <c r="L246" s="841" t="s">
        <v>36</v>
      </c>
      <c r="M246" s="792">
        <v>5</v>
      </c>
      <c r="N246" s="841">
        <v>20.99</v>
      </c>
      <c r="O246" s="775"/>
      <c r="P246" s="775"/>
      <c r="Q246" s="775">
        <v>40000</v>
      </c>
      <c r="R246" s="772"/>
    </row>
    <row r="247" spans="1:18" s="903" customFormat="1" ht="15.75">
      <c r="A247" s="1125"/>
      <c r="B247" s="832"/>
      <c r="C247" s="833"/>
      <c r="D247" s="834" t="s">
        <v>12</v>
      </c>
      <c r="E247" s="834" t="s">
        <v>13</v>
      </c>
      <c r="F247" s="835" t="s">
        <v>14</v>
      </c>
      <c r="G247" s="835" t="s">
        <v>14</v>
      </c>
      <c r="H247" s="834" t="s">
        <v>15</v>
      </c>
      <c r="K247" s="904">
        <v>3</v>
      </c>
      <c r="L247" s="841" t="s">
        <v>50</v>
      </c>
      <c r="M247" s="792">
        <v>15</v>
      </c>
      <c r="N247" s="841">
        <v>67.27</v>
      </c>
      <c r="O247" s="775">
        <v>159167</v>
      </c>
      <c r="P247" s="775">
        <v>12733360</v>
      </c>
      <c r="Q247" s="775">
        <v>20424497</v>
      </c>
      <c r="R247" s="772">
        <v>60</v>
      </c>
    </row>
    <row r="248" spans="1:18" ht="15" customHeight="1">
      <c r="A248" s="904">
        <v>1</v>
      </c>
      <c r="B248" s="841" t="s">
        <v>47</v>
      </c>
      <c r="C248" s="792">
        <v>7</v>
      </c>
      <c r="D248" s="858">
        <v>71.241</v>
      </c>
      <c r="E248" s="775"/>
      <c r="F248" s="775"/>
      <c r="G248" s="775">
        <v>95600</v>
      </c>
      <c r="H248" s="772"/>
      <c r="K248" s="840">
        <v>4</v>
      </c>
      <c r="L248" s="841" t="s">
        <v>47</v>
      </c>
      <c r="M248" s="792">
        <v>11</v>
      </c>
      <c r="N248" s="841">
        <v>87.781</v>
      </c>
      <c r="O248" s="775">
        <v>140</v>
      </c>
      <c r="P248" s="775"/>
      <c r="Q248" s="775">
        <v>207634</v>
      </c>
      <c r="R248" s="772"/>
    </row>
    <row r="249" spans="1:18" ht="15" customHeight="1">
      <c r="A249" s="840">
        <v>2</v>
      </c>
      <c r="B249" s="841" t="s">
        <v>27</v>
      </c>
      <c r="C249" s="792">
        <v>5</v>
      </c>
      <c r="D249" s="858">
        <v>2349.145</v>
      </c>
      <c r="E249" s="775">
        <v>4205264</v>
      </c>
      <c r="F249" s="775"/>
      <c r="G249" s="775">
        <f>195461356+74093</f>
        <v>195535449</v>
      </c>
      <c r="H249" s="772">
        <v>280</v>
      </c>
      <c r="K249" s="904">
        <v>5</v>
      </c>
      <c r="L249" s="841" t="s">
        <v>72</v>
      </c>
      <c r="M249" s="792">
        <v>1</v>
      </c>
      <c r="N249" s="841">
        <v>4.75</v>
      </c>
      <c r="O249" s="775"/>
      <c r="P249" s="775"/>
      <c r="Q249" s="775">
        <v>3000</v>
      </c>
      <c r="R249" s="772"/>
    </row>
    <row r="250" spans="1:18" ht="15" customHeight="1">
      <c r="A250" s="904">
        <v>3</v>
      </c>
      <c r="B250" s="841" t="s">
        <v>50</v>
      </c>
      <c r="C250" s="792">
        <v>20</v>
      </c>
      <c r="D250" s="858">
        <v>735.407</v>
      </c>
      <c r="E250" s="775">
        <v>287500</v>
      </c>
      <c r="F250" s="775">
        <v>17250000</v>
      </c>
      <c r="G250" s="775">
        <v>5762678</v>
      </c>
      <c r="H250" s="772">
        <v>60</v>
      </c>
      <c r="K250" s="852"/>
      <c r="L250" s="853" t="s">
        <v>19</v>
      </c>
      <c r="M250" s="856">
        <f aca="true" t="shared" si="38" ref="M250:R250">SUM(M245:M249)</f>
        <v>39</v>
      </c>
      <c r="N250" s="866">
        <f t="shared" si="38"/>
        <v>3793.3959999999997</v>
      </c>
      <c r="O250" s="856">
        <f t="shared" si="38"/>
        <v>6380255</v>
      </c>
      <c r="P250" s="856">
        <f t="shared" si="38"/>
        <v>945875560</v>
      </c>
      <c r="Q250" s="856">
        <f t="shared" si="38"/>
        <v>413841177</v>
      </c>
      <c r="R250" s="856">
        <f t="shared" si="38"/>
        <v>395</v>
      </c>
    </row>
    <row r="251" spans="1:18" ht="15" customHeight="1">
      <c r="A251" s="904"/>
      <c r="B251" s="841"/>
      <c r="C251" s="792"/>
      <c r="D251" s="858"/>
      <c r="E251" s="775"/>
      <c r="F251" s="775"/>
      <c r="G251" s="775"/>
      <c r="H251" s="772"/>
      <c r="K251" s="826"/>
      <c r="L251" s="938"/>
      <c r="M251" s="877"/>
      <c r="N251" s="939"/>
      <c r="O251" s="877"/>
      <c r="P251" s="877"/>
      <c r="Q251" s="877"/>
      <c r="R251" s="877"/>
    </row>
    <row r="252" spans="1:18" ht="20.25" customHeight="1">
      <c r="A252" s="904"/>
      <c r="B252" s="841"/>
      <c r="C252" s="792"/>
      <c r="D252" s="858"/>
      <c r="E252" s="775"/>
      <c r="F252" s="775"/>
      <c r="G252" s="775"/>
      <c r="H252" s="772"/>
      <c r="K252" s="826"/>
      <c r="L252" s="827"/>
      <c r="M252" s="807"/>
      <c r="N252" s="828" t="s">
        <v>264</v>
      </c>
      <c r="O252" s="828"/>
      <c r="P252" s="809"/>
      <c r="Q252" s="809"/>
      <c r="R252" s="829"/>
    </row>
    <row r="253" spans="1:18" ht="15" customHeight="1">
      <c r="A253" s="904"/>
      <c r="B253" s="841"/>
      <c r="C253" s="792"/>
      <c r="D253" s="858"/>
      <c r="E253" s="775"/>
      <c r="F253" s="775"/>
      <c r="G253" s="775"/>
      <c r="H253" s="772"/>
      <c r="K253" s="1124" t="s">
        <v>4</v>
      </c>
      <c r="L253" s="831" t="s">
        <v>5</v>
      </c>
      <c r="M253" s="831" t="s">
        <v>6</v>
      </c>
      <c r="N253" s="831" t="s">
        <v>7</v>
      </c>
      <c r="O253" s="831" t="s">
        <v>8</v>
      </c>
      <c r="P253" s="831" t="s">
        <v>9</v>
      </c>
      <c r="Q253" s="831" t="s">
        <v>10</v>
      </c>
      <c r="R253" s="831" t="s">
        <v>11</v>
      </c>
    </row>
    <row r="254" spans="1:19" ht="15" customHeight="1">
      <c r="A254" s="904"/>
      <c r="B254" s="841"/>
      <c r="C254" s="792"/>
      <c r="D254" s="858"/>
      <c r="E254" s="775"/>
      <c r="F254" s="775"/>
      <c r="G254" s="775"/>
      <c r="H254" s="772"/>
      <c r="K254" s="1124"/>
      <c r="L254" s="836"/>
      <c r="M254" s="837"/>
      <c r="N254" s="838" t="s">
        <v>12</v>
      </c>
      <c r="O254" s="838" t="s">
        <v>13</v>
      </c>
      <c r="P254" s="839" t="s">
        <v>391</v>
      </c>
      <c r="Q254" s="839" t="s">
        <v>391</v>
      </c>
      <c r="R254" s="838" t="s">
        <v>15</v>
      </c>
      <c r="S254" s="791" t="s">
        <v>373</v>
      </c>
    </row>
    <row r="255" spans="1:18" ht="15" customHeight="1">
      <c r="A255" s="904"/>
      <c r="B255" s="841"/>
      <c r="C255" s="792"/>
      <c r="D255" s="858"/>
      <c r="E255" s="775"/>
      <c r="F255" s="775"/>
      <c r="G255" s="775"/>
      <c r="H255" s="772"/>
      <c r="K255" s="904">
        <v>1</v>
      </c>
      <c r="L255" s="841" t="s">
        <v>25</v>
      </c>
      <c r="M255" s="792">
        <v>25</v>
      </c>
      <c r="N255" s="858">
        <v>1093.95</v>
      </c>
      <c r="O255" s="775">
        <v>189053</v>
      </c>
      <c r="P255" s="775">
        <v>198505650</v>
      </c>
      <c r="Q255" s="775">
        <v>30308000</v>
      </c>
      <c r="R255" s="772">
        <v>3500</v>
      </c>
    </row>
    <row r="256" spans="1:18" ht="15" customHeight="1">
      <c r="A256" s="904"/>
      <c r="B256" s="841"/>
      <c r="C256" s="792"/>
      <c r="D256" s="858"/>
      <c r="E256" s="775"/>
      <c r="F256" s="775"/>
      <c r="G256" s="775"/>
      <c r="H256" s="772"/>
      <c r="K256" s="840">
        <v>2</v>
      </c>
      <c r="L256" s="841" t="s">
        <v>50</v>
      </c>
      <c r="M256" s="792">
        <v>19</v>
      </c>
      <c r="N256" s="858">
        <v>686.42</v>
      </c>
      <c r="O256" s="775">
        <v>630189</v>
      </c>
      <c r="P256" s="775">
        <v>75622680</v>
      </c>
      <c r="Q256" s="775">
        <v>19356000</v>
      </c>
      <c r="R256" s="772">
        <v>339</v>
      </c>
    </row>
    <row r="257" spans="1:18" ht="15" customHeight="1">
      <c r="A257" s="904"/>
      <c r="B257" s="841"/>
      <c r="C257" s="792"/>
      <c r="D257" s="858"/>
      <c r="E257" s="775"/>
      <c r="F257" s="775"/>
      <c r="G257" s="775"/>
      <c r="H257" s="772"/>
      <c r="K257" s="840">
        <v>3</v>
      </c>
      <c r="L257" s="841" t="s">
        <v>39</v>
      </c>
      <c r="M257" s="792"/>
      <c r="N257" s="858"/>
      <c r="O257" s="775">
        <v>7280</v>
      </c>
      <c r="P257" s="775">
        <v>3458000</v>
      </c>
      <c r="Q257" s="775">
        <v>439000</v>
      </c>
      <c r="R257" s="772"/>
    </row>
    <row r="258" spans="1:20" ht="15" customHeight="1">
      <c r="A258" s="904"/>
      <c r="B258" s="841"/>
      <c r="C258" s="792"/>
      <c r="D258" s="858"/>
      <c r="E258" s="775"/>
      <c r="F258" s="775"/>
      <c r="G258" s="775"/>
      <c r="H258" s="772"/>
      <c r="K258" s="904">
        <v>4</v>
      </c>
      <c r="L258" s="841" t="s">
        <v>72</v>
      </c>
      <c r="M258" s="792">
        <v>8</v>
      </c>
      <c r="N258" s="858">
        <v>32</v>
      </c>
      <c r="O258" s="775"/>
      <c r="P258" s="775"/>
      <c r="Q258" s="775">
        <v>38000</v>
      </c>
      <c r="R258" s="772"/>
      <c r="T258" s="791" t="s">
        <v>372</v>
      </c>
    </row>
    <row r="259" spans="1:18" ht="15" customHeight="1">
      <c r="A259" s="904"/>
      <c r="B259" s="841"/>
      <c r="C259" s="792"/>
      <c r="D259" s="858"/>
      <c r="E259" s="775"/>
      <c r="F259" s="775"/>
      <c r="G259" s="775"/>
      <c r="H259" s="772"/>
      <c r="K259" s="852"/>
      <c r="L259" s="853" t="s">
        <v>19</v>
      </c>
      <c r="M259" s="856">
        <f aca="true" t="shared" si="39" ref="M259:R259">SUM(M255:M258)</f>
        <v>52</v>
      </c>
      <c r="N259" s="866">
        <f t="shared" si="39"/>
        <v>1812.37</v>
      </c>
      <c r="O259" s="856">
        <f t="shared" si="39"/>
        <v>826522</v>
      </c>
      <c r="P259" s="856">
        <f t="shared" si="39"/>
        <v>277586330</v>
      </c>
      <c r="Q259" s="856">
        <f t="shared" si="39"/>
        <v>50141000</v>
      </c>
      <c r="R259" s="856">
        <f t="shared" si="39"/>
        <v>3839</v>
      </c>
    </row>
    <row r="260" spans="1:18" ht="15" customHeight="1">
      <c r="A260" s="904"/>
      <c r="B260" s="841"/>
      <c r="C260" s="792"/>
      <c r="D260" s="858"/>
      <c r="E260" s="775"/>
      <c r="F260" s="775"/>
      <c r="G260" s="775"/>
      <c r="H260" s="772"/>
      <c r="K260" s="826"/>
      <c r="L260" s="938"/>
      <c r="M260" s="877"/>
      <c r="N260" s="939"/>
      <c r="O260" s="877"/>
      <c r="P260" s="877"/>
      <c r="Q260" s="877"/>
      <c r="R260" s="877"/>
    </row>
    <row r="261" spans="1:18" ht="12" customHeight="1">
      <c r="A261" s="840">
        <v>4</v>
      </c>
      <c r="B261" s="841" t="s">
        <v>36</v>
      </c>
      <c r="C261" s="792">
        <v>2</v>
      </c>
      <c r="D261" s="858">
        <v>9.75</v>
      </c>
      <c r="E261" s="775" t="s">
        <v>53</v>
      </c>
      <c r="F261" s="775"/>
      <c r="G261" s="775"/>
      <c r="H261" s="772"/>
      <c r="K261" s="826"/>
      <c r="L261" s="827"/>
      <c r="M261" s="807"/>
      <c r="N261" s="857"/>
      <c r="O261" s="809"/>
      <c r="P261" s="809"/>
      <c r="Q261" s="809"/>
      <c r="R261" s="829"/>
    </row>
    <row r="262" spans="1:18" ht="15" customHeight="1">
      <c r="A262" s="904">
        <v>5</v>
      </c>
      <c r="B262" s="841" t="s">
        <v>72</v>
      </c>
      <c r="C262" s="792">
        <v>8</v>
      </c>
      <c r="D262" s="858">
        <v>32</v>
      </c>
      <c r="E262" s="775"/>
      <c r="F262" s="775"/>
      <c r="G262" s="775">
        <v>15000</v>
      </c>
      <c r="H262" s="772"/>
      <c r="K262" s="826"/>
      <c r="L262" s="827"/>
      <c r="M262" s="807"/>
      <c r="N262" s="828" t="s">
        <v>89</v>
      </c>
      <c r="O262" s="809"/>
      <c r="P262" s="809"/>
      <c r="Q262" s="809"/>
      <c r="R262" s="829"/>
    </row>
    <row r="263" spans="1:18" ht="15" customHeight="1">
      <c r="A263" s="840">
        <v>6</v>
      </c>
      <c r="B263" s="841" t="s">
        <v>41</v>
      </c>
      <c r="C263" s="792"/>
      <c r="D263" s="858"/>
      <c r="E263" s="775"/>
      <c r="F263" s="775"/>
      <c r="G263" s="775">
        <v>45000</v>
      </c>
      <c r="H263" s="772"/>
      <c r="K263" s="1124" t="s">
        <v>4</v>
      </c>
      <c r="L263" s="831" t="s">
        <v>5</v>
      </c>
      <c r="M263" s="831" t="s">
        <v>6</v>
      </c>
      <c r="N263" s="831" t="s">
        <v>7</v>
      </c>
      <c r="O263" s="831" t="s">
        <v>8</v>
      </c>
      <c r="P263" s="831" t="s">
        <v>9</v>
      </c>
      <c r="Q263" s="831" t="s">
        <v>10</v>
      </c>
      <c r="R263" s="831" t="s">
        <v>11</v>
      </c>
    </row>
    <row r="264" spans="1:18" ht="18.75" customHeight="1">
      <c r="A264" s="846"/>
      <c r="B264" s="847" t="s">
        <v>19</v>
      </c>
      <c r="C264" s="850">
        <f aca="true" t="shared" si="40" ref="C264:H264">SUM(C248:C263)</f>
        <v>42</v>
      </c>
      <c r="D264" s="864">
        <f t="shared" si="40"/>
        <v>3197.543</v>
      </c>
      <c r="E264" s="850">
        <f t="shared" si="40"/>
        <v>4492764</v>
      </c>
      <c r="F264" s="850">
        <f t="shared" si="40"/>
        <v>17250000</v>
      </c>
      <c r="G264" s="850">
        <f>SUM(G248:G263)</f>
        <v>201453727</v>
      </c>
      <c r="H264" s="850">
        <f t="shared" si="40"/>
        <v>340</v>
      </c>
      <c r="K264" s="1124"/>
      <c r="L264" s="836"/>
      <c r="M264" s="837"/>
      <c r="N264" s="838" t="s">
        <v>12</v>
      </c>
      <c r="O264" s="838" t="s">
        <v>13</v>
      </c>
      <c r="P264" s="839" t="s">
        <v>391</v>
      </c>
      <c r="Q264" s="839" t="s">
        <v>391</v>
      </c>
      <c r="R264" s="838" t="s">
        <v>15</v>
      </c>
    </row>
    <row r="265" spans="1:18" ht="15" customHeight="1">
      <c r="A265" s="826"/>
      <c r="B265" s="827"/>
      <c r="C265" s="807"/>
      <c r="D265" s="828" t="s">
        <v>89</v>
      </c>
      <c r="E265" s="809"/>
      <c r="F265" s="809"/>
      <c r="G265" s="809"/>
      <c r="H265" s="829"/>
      <c r="K265" s="840">
        <v>1</v>
      </c>
      <c r="L265" s="841" t="s">
        <v>31</v>
      </c>
      <c r="M265" s="923">
        <v>5</v>
      </c>
      <c r="N265" s="977">
        <v>23.1</v>
      </c>
      <c r="O265" s="946"/>
      <c r="P265" s="923"/>
      <c r="Q265" s="923"/>
      <c r="R265" s="923"/>
    </row>
    <row r="266" spans="1:18" ht="15" customHeight="1">
      <c r="A266" s="1125" t="s">
        <v>4</v>
      </c>
      <c r="B266" s="830" t="s">
        <v>5</v>
      </c>
      <c r="C266" s="830" t="s">
        <v>6</v>
      </c>
      <c r="D266" s="830" t="s">
        <v>7</v>
      </c>
      <c r="E266" s="830" t="s">
        <v>8</v>
      </c>
      <c r="F266" s="830" t="s">
        <v>9</v>
      </c>
      <c r="G266" s="830" t="s">
        <v>10</v>
      </c>
      <c r="H266" s="830" t="s">
        <v>11</v>
      </c>
      <c r="K266" s="840">
        <v>2</v>
      </c>
      <c r="L266" s="841" t="s">
        <v>72</v>
      </c>
      <c r="M266" s="923">
        <v>93</v>
      </c>
      <c r="N266" s="977">
        <v>435.83697</v>
      </c>
      <c r="O266" s="923">
        <v>21298</v>
      </c>
      <c r="P266" s="821">
        <v>6857956</v>
      </c>
      <c r="Q266" s="923">
        <v>7043000</v>
      </c>
      <c r="R266" s="772">
        <v>494</v>
      </c>
    </row>
    <row r="267" spans="1:18" s="903" customFormat="1" ht="15.75">
      <c r="A267" s="1125"/>
      <c r="B267" s="832"/>
      <c r="C267" s="833"/>
      <c r="D267" s="834" t="s">
        <v>12</v>
      </c>
      <c r="E267" s="834" t="s">
        <v>13</v>
      </c>
      <c r="F267" s="835" t="s">
        <v>14</v>
      </c>
      <c r="G267" s="835" t="s">
        <v>14</v>
      </c>
      <c r="H267" s="834" t="s">
        <v>15</v>
      </c>
      <c r="K267" s="840">
        <v>3</v>
      </c>
      <c r="L267" s="841" t="s">
        <v>41</v>
      </c>
      <c r="M267" s="772"/>
      <c r="N267" s="859"/>
      <c r="O267" s="775"/>
      <c r="P267" s="775"/>
      <c r="Q267" s="775"/>
      <c r="R267" s="772"/>
    </row>
    <row r="268" spans="1:18" ht="15" customHeight="1">
      <c r="A268" s="904">
        <v>1</v>
      </c>
      <c r="B268" s="841" t="s">
        <v>21</v>
      </c>
      <c r="C268" s="923">
        <v>1</v>
      </c>
      <c r="D268" s="977">
        <v>5</v>
      </c>
      <c r="E268" s="821"/>
      <c r="F268" s="821"/>
      <c r="G268" s="775"/>
      <c r="H268" s="772"/>
      <c r="K268" s="852"/>
      <c r="L268" s="853" t="s">
        <v>19</v>
      </c>
      <c r="M268" s="855">
        <f aca="true" t="shared" si="41" ref="M268:R268">SUM(M265:M267)</f>
        <v>98</v>
      </c>
      <c r="N268" s="866">
        <f t="shared" si="41"/>
        <v>458.93697000000003</v>
      </c>
      <c r="O268" s="855">
        <f t="shared" si="41"/>
        <v>21298</v>
      </c>
      <c r="P268" s="855">
        <f t="shared" si="41"/>
        <v>6857956</v>
      </c>
      <c r="Q268" s="855">
        <f t="shared" si="41"/>
        <v>7043000</v>
      </c>
      <c r="R268" s="855">
        <f t="shared" si="41"/>
        <v>494</v>
      </c>
    </row>
    <row r="269" spans="1:18" ht="21.75" customHeight="1">
      <c r="A269" s="840">
        <v>2</v>
      </c>
      <c r="B269" s="841" t="s">
        <v>72</v>
      </c>
      <c r="C269" s="923">
        <v>44</v>
      </c>
      <c r="D269" s="977">
        <v>213.2785</v>
      </c>
      <c r="E269" s="923">
        <v>123153</v>
      </c>
      <c r="F269" s="923">
        <v>61576500</v>
      </c>
      <c r="G269" s="923">
        <v>2708050</v>
      </c>
      <c r="H269" s="978">
        <v>390</v>
      </c>
      <c r="K269" s="826"/>
      <c r="L269" s="827"/>
      <c r="M269" s="807"/>
      <c r="N269" s="857"/>
      <c r="O269" s="809"/>
      <c r="P269" s="809"/>
      <c r="Q269" s="809"/>
      <c r="R269" s="829"/>
    </row>
    <row r="270" spans="1:18" ht="22.5" customHeight="1">
      <c r="A270" s="840">
        <v>3</v>
      </c>
      <c r="B270" s="841" t="s">
        <v>31</v>
      </c>
      <c r="C270" s="923">
        <v>5</v>
      </c>
      <c r="D270" s="977">
        <v>23.1</v>
      </c>
      <c r="E270" s="923"/>
      <c r="F270" s="821"/>
      <c r="G270" s="923">
        <v>1100</v>
      </c>
      <c r="H270" s="772"/>
      <c r="K270" s="826"/>
      <c r="L270" s="827"/>
      <c r="M270" s="807"/>
      <c r="N270" s="828" t="s">
        <v>90</v>
      </c>
      <c r="O270" s="809"/>
      <c r="P270" s="809"/>
      <c r="Q270" s="809"/>
      <c r="R270" s="829"/>
    </row>
    <row r="271" spans="1:18" ht="15" customHeight="1">
      <c r="A271" s="840">
        <v>4</v>
      </c>
      <c r="B271" s="841" t="s">
        <v>41</v>
      </c>
      <c r="C271" s="772"/>
      <c r="D271" s="859"/>
      <c r="E271" s="775"/>
      <c r="F271" s="775"/>
      <c r="G271" s="775">
        <v>14000</v>
      </c>
      <c r="H271" s="772"/>
      <c r="K271" s="1124" t="s">
        <v>4</v>
      </c>
      <c r="L271" s="831" t="s">
        <v>5</v>
      </c>
      <c r="M271" s="831" t="s">
        <v>6</v>
      </c>
      <c r="N271" s="831" t="s">
        <v>7</v>
      </c>
      <c r="O271" s="831" t="s">
        <v>8</v>
      </c>
      <c r="P271" s="831" t="s">
        <v>9</v>
      </c>
      <c r="Q271" s="831" t="s">
        <v>10</v>
      </c>
      <c r="R271" s="831" t="s">
        <v>11</v>
      </c>
    </row>
    <row r="272" spans="1:18" ht="15" customHeight="1">
      <c r="A272" s="846"/>
      <c r="B272" s="847" t="s">
        <v>19</v>
      </c>
      <c r="C272" s="849">
        <f aca="true" t="shared" si="42" ref="C272:H272">SUM(C267:C271)</f>
        <v>50</v>
      </c>
      <c r="D272" s="864">
        <f t="shared" si="42"/>
        <v>241.3785</v>
      </c>
      <c r="E272" s="850">
        <f t="shared" si="42"/>
        <v>123153</v>
      </c>
      <c r="F272" s="850">
        <f t="shared" si="42"/>
        <v>61576500</v>
      </c>
      <c r="G272" s="850">
        <f t="shared" si="42"/>
        <v>2723150</v>
      </c>
      <c r="H272" s="849">
        <f t="shared" si="42"/>
        <v>390</v>
      </c>
      <c r="K272" s="1124"/>
      <c r="L272" s="836"/>
      <c r="M272" s="837"/>
      <c r="N272" s="838" t="s">
        <v>12</v>
      </c>
      <c r="O272" s="838" t="s">
        <v>13</v>
      </c>
      <c r="P272" s="839" t="s">
        <v>391</v>
      </c>
      <c r="Q272" s="839" t="s">
        <v>391</v>
      </c>
      <c r="R272" s="838" t="s">
        <v>15</v>
      </c>
    </row>
    <row r="273" spans="1:18" ht="15" customHeight="1">
      <c r="A273" s="826"/>
      <c r="B273" s="827"/>
      <c r="C273" s="807"/>
      <c r="D273" s="857"/>
      <c r="E273" s="809"/>
      <c r="F273" s="809"/>
      <c r="G273" s="809"/>
      <c r="H273" s="829"/>
      <c r="K273" s="840">
        <v>1</v>
      </c>
      <c r="L273" s="841" t="s">
        <v>55</v>
      </c>
      <c r="M273" s="923">
        <v>2</v>
      </c>
      <c r="N273" s="979">
        <v>1342.425</v>
      </c>
      <c r="O273" s="980">
        <v>2139504</v>
      </c>
      <c r="P273" s="923">
        <v>4279008000</v>
      </c>
      <c r="Q273" s="920">
        <v>1294446600</v>
      </c>
      <c r="R273" s="958">
        <v>1378</v>
      </c>
    </row>
    <row r="274" spans="1:18" ht="15" customHeight="1">
      <c r="A274" s="826"/>
      <c r="B274" s="827"/>
      <c r="C274" s="807"/>
      <c r="D274" s="828" t="s">
        <v>90</v>
      </c>
      <c r="E274" s="809"/>
      <c r="F274" s="809"/>
      <c r="G274" s="809"/>
      <c r="H274" s="829"/>
      <c r="K274" s="840">
        <v>2</v>
      </c>
      <c r="L274" s="841" t="s">
        <v>91</v>
      </c>
      <c r="M274" s="923"/>
      <c r="N274" s="981"/>
      <c r="O274" s="982">
        <v>57200</v>
      </c>
      <c r="P274" s="983"/>
      <c r="Q274" s="923"/>
      <c r="R274" s="958"/>
    </row>
    <row r="275" spans="1:18" ht="15" customHeight="1">
      <c r="A275" s="1125" t="s">
        <v>4</v>
      </c>
      <c r="B275" s="830" t="s">
        <v>5</v>
      </c>
      <c r="C275" s="830" t="s">
        <v>6</v>
      </c>
      <c r="D275" s="830" t="s">
        <v>7</v>
      </c>
      <c r="E275" s="830" t="s">
        <v>8</v>
      </c>
      <c r="F275" s="830" t="s">
        <v>9</v>
      </c>
      <c r="G275" s="830" t="s">
        <v>10</v>
      </c>
      <c r="H275" s="830" t="s">
        <v>11</v>
      </c>
      <c r="K275" s="840">
        <v>3</v>
      </c>
      <c r="L275" s="841" t="s">
        <v>57</v>
      </c>
      <c r="M275" s="923"/>
      <c r="N275" s="981"/>
      <c r="O275" s="898">
        <v>130500</v>
      </c>
      <c r="P275" s="983"/>
      <c r="Q275" s="923"/>
      <c r="R275" s="958"/>
    </row>
    <row r="276" spans="1:18" s="903" customFormat="1" ht="15.75">
      <c r="A276" s="1125"/>
      <c r="B276" s="832"/>
      <c r="C276" s="833"/>
      <c r="D276" s="834" t="s">
        <v>12</v>
      </c>
      <c r="E276" s="834" t="s">
        <v>13</v>
      </c>
      <c r="F276" s="835" t="s">
        <v>14</v>
      </c>
      <c r="G276" s="835" t="s">
        <v>14</v>
      </c>
      <c r="H276" s="834" t="s">
        <v>15</v>
      </c>
      <c r="K276" s="840">
        <v>4</v>
      </c>
      <c r="L276" s="841" t="s">
        <v>25</v>
      </c>
      <c r="M276" s="923">
        <v>10</v>
      </c>
      <c r="N276" s="981">
        <v>498.23</v>
      </c>
      <c r="O276" s="912">
        <v>30745</v>
      </c>
      <c r="P276" s="983">
        <v>24596000</v>
      </c>
      <c r="Q276" s="923">
        <v>3347000</v>
      </c>
      <c r="R276" s="958">
        <v>913</v>
      </c>
    </row>
    <row r="277" spans="1:18" ht="15" customHeight="1">
      <c r="A277" s="840">
        <v>1</v>
      </c>
      <c r="B277" s="841" t="s">
        <v>55</v>
      </c>
      <c r="C277" s="923">
        <v>2</v>
      </c>
      <c r="D277" s="979">
        <v>1342.0425</v>
      </c>
      <c r="E277" s="923">
        <v>725629</v>
      </c>
      <c r="F277" s="923">
        <v>1167400000</v>
      </c>
      <c r="G277" s="923">
        <v>293573000</v>
      </c>
      <c r="H277" s="958">
        <v>1359</v>
      </c>
      <c r="K277" s="840">
        <v>5</v>
      </c>
      <c r="L277" s="841" t="s">
        <v>39</v>
      </c>
      <c r="M277" s="923">
        <v>7</v>
      </c>
      <c r="N277" s="981">
        <v>862.363</v>
      </c>
      <c r="O277" s="912">
        <v>646608</v>
      </c>
      <c r="P277" s="983">
        <v>16165200</v>
      </c>
      <c r="Q277" s="923">
        <v>5581000</v>
      </c>
      <c r="R277" s="958">
        <v>307</v>
      </c>
    </row>
    <row r="278" spans="1:18" ht="15" customHeight="1">
      <c r="A278" s="840">
        <v>2</v>
      </c>
      <c r="B278" s="841" t="s">
        <v>91</v>
      </c>
      <c r="C278" s="923"/>
      <c r="D278" s="979"/>
      <c r="E278" s="923">
        <f>8174+9571</f>
        <v>17745</v>
      </c>
      <c r="F278" s="923"/>
      <c r="G278" s="923"/>
      <c r="H278" s="958"/>
      <c r="K278" s="840">
        <v>6</v>
      </c>
      <c r="L278" s="841" t="s">
        <v>92</v>
      </c>
      <c r="M278" s="923">
        <v>168</v>
      </c>
      <c r="N278" s="981">
        <v>2081.135</v>
      </c>
      <c r="O278" s="912">
        <v>216634</v>
      </c>
      <c r="P278" s="983">
        <v>51992160</v>
      </c>
      <c r="Q278" s="923">
        <v>22865000</v>
      </c>
      <c r="R278" s="958">
        <v>1345</v>
      </c>
    </row>
    <row r="279" spans="1:18" ht="15" customHeight="1">
      <c r="A279" s="840"/>
      <c r="B279" s="841"/>
      <c r="C279" s="923"/>
      <c r="D279" s="979"/>
      <c r="E279" s="923"/>
      <c r="F279" s="923"/>
      <c r="G279" s="923"/>
      <c r="H279" s="958"/>
      <c r="K279" s="840">
        <v>7</v>
      </c>
      <c r="L279" s="841" t="s">
        <v>59</v>
      </c>
      <c r="M279" s="899"/>
      <c r="N279" s="900"/>
      <c r="O279" s="897">
        <v>135</v>
      </c>
      <c r="P279" s="897">
        <v>25764750</v>
      </c>
      <c r="Q279" s="898">
        <v>9871710</v>
      </c>
      <c r="R279" s="901"/>
    </row>
    <row r="280" spans="1:18" ht="15" customHeight="1">
      <c r="A280" s="840"/>
      <c r="B280" s="841"/>
      <c r="C280" s="923"/>
      <c r="D280" s="979"/>
      <c r="E280" s="923"/>
      <c r="F280" s="923"/>
      <c r="G280" s="923"/>
      <c r="H280" s="958"/>
      <c r="K280" s="840">
        <v>8</v>
      </c>
      <c r="L280" s="841" t="s">
        <v>263</v>
      </c>
      <c r="M280" s="984"/>
      <c r="N280" s="984"/>
      <c r="O280" s="897">
        <v>160</v>
      </c>
      <c r="P280" s="897">
        <v>8667646660</v>
      </c>
      <c r="Q280" s="985">
        <v>642829690</v>
      </c>
      <c r="R280" s="984"/>
    </row>
    <row r="281" spans="1:18" ht="15" customHeight="1">
      <c r="A281" s="840">
        <v>3</v>
      </c>
      <c r="B281" s="841" t="s">
        <v>57</v>
      </c>
      <c r="C281" s="923"/>
      <c r="D281" s="979"/>
      <c r="E281" s="923">
        <f>36531+23140</f>
        <v>59671</v>
      </c>
      <c r="F281" s="923"/>
      <c r="G281" s="923"/>
      <c r="H281" s="958"/>
      <c r="K281" s="840">
        <v>9</v>
      </c>
      <c r="L281" s="841" t="s">
        <v>35</v>
      </c>
      <c r="M281" s="923"/>
      <c r="N281" s="981"/>
      <c r="O281" s="920"/>
      <c r="P281" s="983"/>
      <c r="Q281" s="923"/>
      <c r="R281" s="958"/>
    </row>
    <row r="282" spans="1:18" ht="15" customHeight="1">
      <c r="A282" s="840">
        <v>4</v>
      </c>
      <c r="B282" s="841" t="s">
        <v>39</v>
      </c>
      <c r="C282" s="923">
        <v>7</v>
      </c>
      <c r="D282" s="979">
        <v>1019.879</v>
      </c>
      <c r="E282" s="923">
        <v>97876</v>
      </c>
      <c r="F282" s="923">
        <v>142314</v>
      </c>
      <c r="G282" s="923">
        <v>5725000</v>
      </c>
      <c r="H282" s="958">
        <v>268</v>
      </c>
      <c r="K282" s="840">
        <v>10</v>
      </c>
      <c r="L282" s="841" t="s">
        <v>36</v>
      </c>
      <c r="M282" s="923">
        <v>1</v>
      </c>
      <c r="N282" s="981">
        <v>4.2</v>
      </c>
      <c r="O282" s="912"/>
      <c r="P282" s="983"/>
      <c r="Q282" s="923">
        <v>201000</v>
      </c>
      <c r="R282" s="958">
        <v>9</v>
      </c>
    </row>
    <row r="283" spans="1:18" ht="15" customHeight="1">
      <c r="A283" s="840">
        <v>5</v>
      </c>
      <c r="B283" s="841" t="s">
        <v>92</v>
      </c>
      <c r="C283" s="923">
        <v>108</v>
      </c>
      <c r="D283" s="979">
        <v>386.54</v>
      </c>
      <c r="E283" s="923">
        <v>124487</v>
      </c>
      <c r="F283" s="923">
        <v>311750</v>
      </c>
      <c r="G283" s="923">
        <v>2488000</v>
      </c>
      <c r="H283" s="958">
        <v>615</v>
      </c>
      <c r="K283" s="852"/>
      <c r="L283" s="853" t="s">
        <v>19</v>
      </c>
      <c r="M283" s="855">
        <f aca="true" t="shared" si="43" ref="M283:R283">SUM(M273:M282)</f>
        <v>188</v>
      </c>
      <c r="N283" s="855">
        <f t="shared" si="43"/>
        <v>4788.353</v>
      </c>
      <c r="O283" s="916">
        <f>SUM(O273:O282)</f>
        <v>3221486</v>
      </c>
      <c r="P283" s="856">
        <f t="shared" si="43"/>
        <v>13065172770</v>
      </c>
      <c r="Q283" s="856">
        <f t="shared" si="43"/>
        <v>1979142000</v>
      </c>
      <c r="R283" s="855">
        <f t="shared" si="43"/>
        <v>3952</v>
      </c>
    </row>
    <row r="284" spans="1:18" ht="23.25" customHeight="1">
      <c r="A284" s="840">
        <v>6</v>
      </c>
      <c r="B284" s="841" t="s">
        <v>35</v>
      </c>
      <c r="C284" s="923">
        <v>2</v>
      </c>
      <c r="D284" s="979">
        <v>25</v>
      </c>
      <c r="E284" s="923">
        <v>1000</v>
      </c>
      <c r="F284" s="923">
        <v>16000</v>
      </c>
      <c r="G284" s="923">
        <v>109000</v>
      </c>
      <c r="H284" s="958">
        <v>7</v>
      </c>
      <c r="K284" s="826"/>
      <c r="L284" s="827"/>
      <c r="M284" s="807"/>
      <c r="N284" s="857"/>
      <c r="O284" s="809"/>
      <c r="P284" s="809"/>
      <c r="Q284" s="809"/>
      <c r="R284" s="829"/>
    </row>
    <row r="285" spans="1:18" ht="24" customHeight="1">
      <c r="A285" s="840">
        <v>7</v>
      </c>
      <c r="B285" s="841" t="s">
        <v>36</v>
      </c>
      <c r="C285" s="923">
        <v>1</v>
      </c>
      <c r="D285" s="979">
        <v>4.2</v>
      </c>
      <c r="E285" s="923"/>
      <c r="F285" s="923"/>
      <c r="G285" s="923">
        <v>1000</v>
      </c>
      <c r="H285" s="958"/>
      <c r="K285" s="826"/>
      <c r="L285" s="827"/>
      <c r="M285" s="807"/>
      <c r="N285" s="828" t="s">
        <v>93</v>
      </c>
      <c r="O285" s="809"/>
      <c r="P285" s="809"/>
      <c r="Q285" s="809"/>
      <c r="R285" s="829"/>
    </row>
    <row r="286" spans="1:18" ht="15" customHeight="1">
      <c r="A286" s="840">
        <v>8</v>
      </c>
      <c r="B286" s="841" t="s">
        <v>25</v>
      </c>
      <c r="C286" s="923">
        <v>13</v>
      </c>
      <c r="D286" s="979">
        <v>645.57</v>
      </c>
      <c r="E286" s="923">
        <v>18000</v>
      </c>
      <c r="F286" s="923">
        <v>1620000</v>
      </c>
      <c r="G286" s="923">
        <v>1024000</v>
      </c>
      <c r="H286" s="958">
        <v>215</v>
      </c>
      <c r="K286" s="1124" t="s">
        <v>4</v>
      </c>
      <c r="L286" s="831" t="s">
        <v>5</v>
      </c>
      <c r="M286" s="831" t="s">
        <v>6</v>
      </c>
      <c r="N286" s="831" t="s">
        <v>7</v>
      </c>
      <c r="O286" s="831" t="s">
        <v>8</v>
      </c>
      <c r="P286" s="831" t="s">
        <v>9</v>
      </c>
      <c r="Q286" s="831" t="s">
        <v>10</v>
      </c>
      <c r="R286" s="831" t="s">
        <v>11</v>
      </c>
    </row>
    <row r="287" spans="1:18" ht="15" customHeight="1">
      <c r="A287" s="846"/>
      <c r="B287" s="847" t="s">
        <v>19</v>
      </c>
      <c r="C287" s="849">
        <f aca="true" t="shared" si="44" ref="C287:H287">SUM(C277:C286)</f>
        <v>133</v>
      </c>
      <c r="D287" s="849">
        <f t="shared" si="44"/>
        <v>3423.2315</v>
      </c>
      <c r="E287" s="850">
        <f t="shared" si="44"/>
        <v>1044408</v>
      </c>
      <c r="F287" s="850">
        <f t="shared" si="44"/>
        <v>1169490064</v>
      </c>
      <c r="G287" s="850">
        <f t="shared" si="44"/>
        <v>302920000</v>
      </c>
      <c r="H287" s="849">
        <f t="shared" si="44"/>
        <v>2464</v>
      </c>
      <c r="K287" s="1124"/>
      <c r="L287" s="836"/>
      <c r="M287" s="837"/>
      <c r="N287" s="838" t="s">
        <v>12</v>
      </c>
      <c r="O287" s="838" t="s">
        <v>13</v>
      </c>
      <c r="P287" s="839" t="s">
        <v>391</v>
      </c>
      <c r="Q287" s="839" t="s">
        <v>391</v>
      </c>
      <c r="R287" s="838" t="s">
        <v>15</v>
      </c>
    </row>
    <row r="288" spans="1:18" ht="18.75" customHeight="1">
      <c r="A288" s="826"/>
      <c r="B288" s="827"/>
      <c r="C288" s="807"/>
      <c r="D288" s="857"/>
      <c r="E288" s="809"/>
      <c r="F288" s="809"/>
      <c r="G288" s="809"/>
      <c r="H288" s="829"/>
      <c r="K288" s="840">
        <v>1</v>
      </c>
      <c r="L288" s="841" t="s">
        <v>27</v>
      </c>
      <c r="M288" s="955">
        <v>1</v>
      </c>
      <c r="N288" s="986">
        <v>895.42</v>
      </c>
      <c r="O288" s="957">
        <v>2260827</v>
      </c>
      <c r="P288" s="957">
        <v>413731341</v>
      </c>
      <c r="Q288" s="957">
        <v>139549000</v>
      </c>
      <c r="R288" s="958">
        <v>63</v>
      </c>
    </row>
    <row r="289" spans="1:18" ht="20.25" customHeight="1">
      <c r="A289" s="826"/>
      <c r="B289" s="827"/>
      <c r="C289" s="807"/>
      <c r="D289" s="828" t="s">
        <v>93</v>
      </c>
      <c r="E289" s="809"/>
      <c r="F289" s="809"/>
      <c r="G289" s="809"/>
      <c r="H289" s="829"/>
      <c r="K289" s="852"/>
      <c r="L289" s="853" t="s">
        <v>19</v>
      </c>
      <c r="M289" s="855">
        <f aca="true" t="shared" si="45" ref="M289:R289">SUM(M285:M288)</f>
        <v>1</v>
      </c>
      <c r="N289" s="866">
        <f t="shared" si="45"/>
        <v>895.42</v>
      </c>
      <c r="O289" s="856">
        <f t="shared" si="45"/>
        <v>2260827</v>
      </c>
      <c r="P289" s="856">
        <f t="shared" si="45"/>
        <v>413731341</v>
      </c>
      <c r="Q289" s="856">
        <f t="shared" si="45"/>
        <v>139549000</v>
      </c>
      <c r="R289" s="855">
        <f t="shared" si="45"/>
        <v>63</v>
      </c>
    </row>
    <row r="290" spans="1:18" ht="15.75" customHeight="1">
      <c r="A290" s="1125" t="s">
        <v>4</v>
      </c>
      <c r="B290" s="830" t="s">
        <v>5</v>
      </c>
      <c r="C290" s="830" t="s">
        <v>6</v>
      </c>
      <c r="D290" s="830" t="s">
        <v>7</v>
      </c>
      <c r="E290" s="830" t="s">
        <v>8</v>
      </c>
      <c r="F290" s="830" t="s">
        <v>9</v>
      </c>
      <c r="G290" s="830" t="s">
        <v>10</v>
      </c>
      <c r="H290" s="830" t="s">
        <v>11</v>
      </c>
      <c r="K290" s="826"/>
      <c r="L290" s="827"/>
      <c r="M290" s="807"/>
      <c r="N290" s="857"/>
      <c r="O290" s="809"/>
      <c r="P290" s="809"/>
      <c r="Q290" s="809"/>
      <c r="R290" s="829"/>
    </row>
    <row r="291" spans="1:18" s="903" customFormat="1" ht="20.25">
      <c r="A291" s="1125"/>
      <c r="B291" s="832"/>
      <c r="C291" s="833"/>
      <c r="D291" s="834" t="s">
        <v>12</v>
      </c>
      <c r="E291" s="834" t="s">
        <v>13</v>
      </c>
      <c r="F291" s="835" t="s">
        <v>14</v>
      </c>
      <c r="G291" s="835" t="s">
        <v>14</v>
      </c>
      <c r="H291" s="834" t="s">
        <v>15</v>
      </c>
      <c r="K291" s="826"/>
      <c r="L291" s="827"/>
      <c r="M291" s="807"/>
      <c r="N291" s="828" t="s">
        <v>94</v>
      </c>
      <c r="O291" s="809"/>
      <c r="P291" s="809"/>
      <c r="Q291" s="809"/>
      <c r="R291" s="829"/>
    </row>
    <row r="292" spans="1:18" ht="15" customHeight="1">
      <c r="A292" s="840">
        <v>1</v>
      </c>
      <c r="B292" s="841" t="s">
        <v>27</v>
      </c>
      <c r="C292" s="955">
        <v>1</v>
      </c>
      <c r="D292" s="956">
        <v>895.42</v>
      </c>
      <c r="E292" s="957">
        <v>1826712.95</v>
      </c>
      <c r="F292" s="957">
        <v>182671200</v>
      </c>
      <c r="G292" s="957">
        <v>85854000</v>
      </c>
      <c r="H292" s="958">
        <v>135</v>
      </c>
      <c r="K292" s="1124" t="s">
        <v>4</v>
      </c>
      <c r="L292" s="831" t="s">
        <v>5</v>
      </c>
      <c r="M292" s="831" t="s">
        <v>6</v>
      </c>
      <c r="N292" s="831" t="s">
        <v>7</v>
      </c>
      <c r="O292" s="831" t="s">
        <v>8</v>
      </c>
      <c r="P292" s="831" t="s">
        <v>9</v>
      </c>
      <c r="Q292" s="831" t="s">
        <v>10</v>
      </c>
      <c r="R292" s="831" t="s">
        <v>11</v>
      </c>
    </row>
    <row r="293" spans="1:18" ht="15" customHeight="1">
      <c r="A293" s="846"/>
      <c r="B293" s="847" t="s">
        <v>19</v>
      </c>
      <c r="C293" s="849">
        <f aca="true" t="shared" si="46" ref="C293:H293">SUM(C289:C292)</f>
        <v>1</v>
      </c>
      <c r="D293" s="849">
        <f t="shared" si="46"/>
        <v>895.42</v>
      </c>
      <c r="E293" s="850">
        <f t="shared" si="46"/>
        <v>1826712.95</v>
      </c>
      <c r="F293" s="850">
        <f t="shared" si="46"/>
        <v>182671200</v>
      </c>
      <c r="G293" s="850">
        <f t="shared" si="46"/>
        <v>85854000</v>
      </c>
      <c r="H293" s="849">
        <f t="shared" si="46"/>
        <v>135</v>
      </c>
      <c r="K293" s="1124"/>
      <c r="L293" s="836"/>
      <c r="M293" s="837"/>
      <c r="N293" s="838" t="s">
        <v>12</v>
      </c>
      <c r="O293" s="838" t="s">
        <v>13</v>
      </c>
      <c r="P293" s="839" t="s">
        <v>391</v>
      </c>
      <c r="Q293" s="839" t="s">
        <v>391</v>
      </c>
      <c r="R293" s="838" t="s">
        <v>15</v>
      </c>
    </row>
    <row r="294" spans="1:18" ht="15" customHeight="1">
      <c r="A294" s="826"/>
      <c r="B294" s="827"/>
      <c r="C294" s="807"/>
      <c r="D294" s="857"/>
      <c r="E294" s="809"/>
      <c r="F294" s="809"/>
      <c r="G294" s="809"/>
      <c r="H294" s="829"/>
      <c r="K294" s="840">
        <v>1</v>
      </c>
      <c r="L294" s="841" t="s">
        <v>25</v>
      </c>
      <c r="M294" s="792">
        <v>39</v>
      </c>
      <c r="N294" s="858">
        <v>743.03</v>
      </c>
      <c r="O294" s="775">
        <v>79938</v>
      </c>
      <c r="P294" s="775">
        <v>20783750</v>
      </c>
      <c r="Q294" s="775">
        <v>4796250</v>
      </c>
      <c r="R294" s="772">
        <v>180</v>
      </c>
    </row>
    <row r="295" spans="1:18" ht="15" customHeight="1">
      <c r="A295" s="826"/>
      <c r="B295" s="827"/>
      <c r="C295" s="807"/>
      <c r="D295" s="857"/>
      <c r="E295" s="809"/>
      <c r="F295" s="809"/>
      <c r="G295" s="809"/>
      <c r="H295" s="829"/>
      <c r="K295" s="865"/>
      <c r="L295" s="853" t="s">
        <v>19</v>
      </c>
      <c r="M295" s="987">
        <f aca="true" t="shared" si="47" ref="M295:R295">SUM(M294:M294)</f>
        <v>39</v>
      </c>
      <c r="N295" s="988">
        <f t="shared" si="47"/>
        <v>743.03</v>
      </c>
      <c r="O295" s="987">
        <f t="shared" si="47"/>
        <v>79938</v>
      </c>
      <c r="P295" s="987">
        <f t="shared" si="47"/>
        <v>20783750</v>
      </c>
      <c r="Q295" s="987">
        <f t="shared" si="47"/>
        <v>4796250</v>
      </c>
      <c r="R295" s="987">
        <f t="shared" si="47"/>
        <v>180</v>
      </c>
    </row>
    <row r="296" spans="1:18" ht="9" customHeight="1">
      <c r="A296" s="826"/>
      <c r="B296" s="827"/>
      <c r="C296" s="807"/>
      <c r="D296" s="828" t="s">
        <v>94</v>
      </c>
      <c r="E296" s="809"/>
      <c r="F296" s="809"/>
      <c r="G296" s="809"/>
      <c r="H296" s="829"/>
      <c r="K296" s="826"/>
      <c r="L296" s="827"/>
      <c r="M296" s="807"/>
      <c r="N296" s="857"/>
      <c r="O296" s="809"/>
      <c r="P296" s="809"/>
      <c r="Q296" s="809"/>
      <c r="R296" s="829"/>
    </row>
    <row r="297" spans="1:18" ht="15" customHeight="1">
      <c r="A297" s="1125" t="s">
        <v>4</v>
      </c>
      <c r="B297" s="830" t="s">
        <v>5</v>
      </c>
      <c r="C297" s="830" t="s">
        <v>6</v>
      </c>
      <c r="D297" s="830" t="s">
        <v>7</v>
      </c>
      <c r="E297" s="830" t="s">
        <v>8</v>
      </c>
      <c r="F297" s="830" t="s">
        <v>9</v>
      </c>
      <c r="G297" s="830" t="s">
        <v>10</v>
      </c>
      <c r="H297" s="830" t="s">
        <v>11</v>
      </c>
      <c r="K297" s="826"/>
      <c r="L297" s="827"/>
      <c r="M297" s="807"/>
      <c r="N297" s="828" t="s">
        <v>95</v>
      </c>
      <c r="O297" s="809"/>
      <c r="P297" s="809"/>
      <c r="Q297" s="809"/>
      <c r="R297" s="829"/>
    </row>
    <row r="298" spans="1:18" s="903" customFormat="1" ht="15" customHeight="1">
      <c r="A298" s="1125"/>
      <c r="B298" s="832"/>
      <c r="C298" s="833"/>
      <c r="D298" s="834" t="s">
        <v>12</v>
      </c>
      <c r="E298" s="834" t="s">
        <v>13</v>
      </c>
      <c r="F298" s="835" t="s">
        <v>14</v>
      </c>
      <c r="G298" s="835" t="s">
        <v>14</v>
      </c>
      <c r="H298" s="834" t="s">
        <v>15</v>
      </c>
      <c r="K298" s="1124" t="s">
        <v>4</v>
      </c>
      <c r="L298" s="831" t="s">
        <v>5</v>
      </c>
      <c r="M298" s="831" t="s">
        <v>6</v>
      </c>
      <c r="N298" s="831" t="s">
        <v>7</v>
      </c>
      <c r="O298" s="831" t="s">
        <v>8</v>
      </c>
      <c r="P298" s="831" t="s">
        <v>9</v>
      </c>
      <c r="Q298" s="831" t="s">
        <v>10</v>
      </c>
      <c r="R298" s="831" t="s">
        <v>11</v>
      </c>
    </row>
    <row r="299" spans="1:18" ht="15" customHeight="1">
      <c r="A299" s="840">
        <v>1</v>
      </c>
      <c r="B299" s="841" t="s">
        <v>25</v>
      </c>
      <c r="C299" s="792">
        <v>38</v>
      </c>
      <c r="D299" s="858">
        <v>1045.2952</v>
      </c>
      <c r="E299" s="775">
        <v>48431.2</v>
      </c>
      <c r="F299" s="775">
        <v>13560736</v>
      </c>
      <c r="G299" s="775">
        <v>2905872</v>
      </c>
      <c r="H299" s="772">
        <v>160</v>
      </c>
      <c r="J299" s="791">
        <f>F299/E299</f>
        <v>280</v>
      </c>
      <c r="K299" s="1124"/>
      <c r="L299" s="836"/>
      <c r="M299" s="837"/>
      <c r="N299" s="838" t="s">
        <v>12</v>
      </c>
      <c r="O299" s="838" t="s">
        <v>13</v>
      </c>
      <c r="P299" s="839" t="s">
        <v>391</v>
      </c>
      <c r="Q299" s="839" t="s">
        <v>391</v>
      </c>
      <c r="R299" s="838" t="s">
        <v>15</v>
      </c>
    </row>
    <row r="300" spans="1:18" ht="15" customHeight="1">
      <c r="A300" s="840">
        <v>2</v>
      </c>
      <c r="B300" s="841" t="s">
        <v>41</v>
      </c>
      <c r="C300" s="792"/>
      <c r="D300" s="858"/>
      <c r="E300" s="775"/>
      <c r="F300" s="775"/>
      <c r="G300" s="775">
        <f>77000+9311</f>
        <v>86311</v>
      </c>
      <c r="H300" s="772"/>
      <c r="K300" s="989">
        <v>1</v>
      </c>
      <c r="L300" s="841" t="s">
        <v>25</v>
      </c>
      <c r="M300" s="792">
        <v>13</v>
      </c>
      <c r="N300" s="858">
        <v>849.677</v>
      </c>
      <c r="O300" s="775">
        <v>73096</v>
      </c>
      <c r="P300" s="775">
        <v>62165600</v>
      </c>
      <c r="Q300" s="775">
        <v>7339000</v>
      </c>
      <c r="R300" s="772">
        <v>250</v>
      </c>
    </row>
    <row r="301" spans="1:18" s="954" customFormat="1" ht="15" customHeight="1">
      <c r="A301" s="840"/>
      <c r="B301" s="847" t="s">
        <v>19</v>
      </c>
      <c r="C301" s="990">
        <f aca="true" t="shared" si="48" ref="C301:H301">SUM(C299:C300)</f>
        <v>38</v>
      </c>
      <c r="D301" s="991">
        <f t="shared" si="48"/>
        <v>1045.2952</v>
      </c>
      <c r="E301" s="990">
        <f t="shared" si="48"/>
        <v>48431.2</v>
      </c>
      <c r="F301" s="990">
        <f t="shared" si="48"/>
        <v>13560736</v>
      </c>
      <c r="G301" s="990">
        <f t="shared" si="48"/>
        <v>2992183</v>
      </c>
      <c r="H301" s="990">
        <f t="shared" si="48"/>
        <v>160</v>
      </c>
      <c r="K301" s="989">
        <v>2</v>
      </c>
      <c r="L301" s="841" t="s">
        <v>39</v>
      </c>
      <c r="M301" s="792"/>
      <c r="O301" s="775">
        <v>4070</v>
      </c>
      <c r="P301" s="775">
        <v>2035000</v>
      </c>
      <c r="Q301" s="775">
        <v>250000</v>
      </c>
      <c r="R301" s="772"/>
    </row>
    <row r="302" spans="1:18" ht="19.5" customHeight="1">
      <c r="A302" s="826"/>
      <c r="B302" s="827"/>
      <c r="C302" s="807"/>
      <c r="D302" s="857"/>
      <c r="E302" s="809"/>
      <c r="F302" s="809"/>
      <c r="G302" s="809"/>
      <c r="H302" s="829"/>
      <c r="K302" s="989">
        <v>3</v>
      </c>
      <c r="L302" s="841" t="s">
        <v>31</v>
      </c>
      <c r="M302" s="792">
        <v>1</v>
      </c>
      <c r="N302" s="858">
        <v>5</v>
      </c>
      <c r="O302" s="775">
        <v>0</v>
      </c>
      <c r="P302" s="775">
        <v>0</v>
      </c>
      <c r="Q302" s="775">
        <v>0</v>
      </c>
      <c r="R302" s="772">
        <v>12</v>
      </c>
    </row>
    <row r="303" spans="1:18" ht="16.5" customHeight="1">
      <c r="A303" s="826"/>
      <c r="B303" s="827"/>
      <c r="C303" s="807"/>
      <c r="D303" s="828" t="s">
        <v>95</v>
      </c>
      <c r="E303" s="809"/>
      <c r="F303" s="809"/>
      <c r="G303" s="809"/>
      <c r="H303" s="829"/>
      <c r="K303" s="865"/>
      <c r="L303" s="853" t="s">
        <v>19</v>
      </c>
      <c r="M303" s="992">
        <f aca="true" t="shared" si="49" ref="M303:R303">SUM(M299:M302)</f>
        <v>14</v>
      </c>
      <c r="N303" s="992">
        <f t="shared" si="49"/>
        <v>854.677</v>
      </c>
      <c r="O303" s="993">
        <f t="shared" si="49"/>
        <v>77166</v>
      </c>
      <c r="P303" s="993">
        <f t="shared" si="49"/>
        <v>64200600</v>
      </c>
      <c r="Q303" s="993">
        <f>SUM(Q300:Q302)</f>
        <v>7589000</v>
      </c>
      <c r="R303" s="992">
        <f t="shared" si="49"/>
        <v>262</v>
      </c>
    </row>
    <row r="304" spans="1:18" ht="9" customHeight="1">
      <c r="A304" s="1125" t="s">
        <v>4</v>
      </c>
      <c r="B304" s="830" t="s">
        <v>5</v>
      </c>
      <c r="C304" s="830" t="s">
        <v>6</v>
      </c>
      <c r="D304" s="830" t="s">
        <v>7</v>
      </c>
      <c r="E304" s="830" t="s">
        <v>8</v>
      </c>
      <c r="F304" s="830" t="s">
        <v>9</v>
      </c>
      <c r="G304" s="830" t="s">
        <v>10</v>
      </c>
      <c r="H304" s="830" t="s">
        <v>11</v>
      </c>
      <c r="K304" s="826"/>
      <c r="L304" s="827"/>
      <c r="M304" s="807"/>
      <c r="N304" s="857"/>
      <c r="O304" s="809"/>
      <c r="P304" s="809"/>
      <c r="Q304" s="809"/>
      <c r="R304" s="829"/>
    </row>
    <row r="305" spans="1:18" ht="15" customHeight="1">
      <c r="A305" s="1125"/>
      <c r="B305" s="830"/>
      <c r="C305" s="830"/>
      <c r="D305" s="830"/>
      <c r="E305" s="830"/>
      <c r="F305" s="830"/>
      <c r="G305" s="830"/>
      <c r="H305" s="830"/>
      <c r="K305" s="826"/>
      <c r="L305" s="827"/>
      <c r="M305" s="807"/>
      <c r="N305" s="828" t="s">
        <v>96</v>
      </c>
      <c r="O305" s="809"/>
      <c r="P305" s="809"/>
      <c r="Q305" s="809"/>
      <c r="R305" s="829"/>
    </row>
    <row r="306" spans="1:18" ht="15" customHeight="1">
      <c r="A306" s="1125"/>
      <c r="B306" s="830"/>
      <c r="C306" s="830"/>
      <c r="D306" s="830"/>
      <c r="E306" s="830"/>
      <c r="F306" s="830"/>
      <c r="G306" s="830"/>
      <c r="H306" s="830"/>
      <c r="K306" s="1124" t="s">
        <v>4</v>
      </c>
      <c r="L306" s="831" t="s">
        <v>5</v>
      </c>
      <c r="M306" s="831" t="s">
        <v>6</v>
      </c>
      <c r="N306" s="831" t="s">
        <v>7</v>
      </c>
      <c r="O306" s="831" t="s">
        <v>8</v>
      </c>
      <c r="P306" s="831" t="s">
        <v>9</v>
      </c>
      <c r="Q306" s="831" t="s">
        <v>10</v>
      </c>
      <c r="R306" s="831" t="s">
        <v>11</v>
      </c>
    </row>
    <row r="307" spans="1:18" ht="15" customHeight="1">
      <c r="A307" s="1125"/>
      <c r="B307" s="830"/>
      <c r="C307" s="830"/>
      <c r="D307" s="830"/>
      <c r="E307" s="830"/>
      <c r="F307" s="830"/>
      <c r="G307" s="830"/>
      <c r="H307" s="830"/>
      <c r="K307" s="1124"/>
      <c r="L307" s="836"/>
      <c r="M307" s="837"/>
      <c r="N307" s="838" t="s">
        <v>12</v>
      </c>
      <c r="O307" s="838" t="s">
        <v>13</v>
      </c>
      <c r="P307" s="839" t="s">
        <v>391</v>
      </c>
      <c r="Q307" s="839" t="s">
        <v>391</v>
      </c>
      <c r="R307" s="838" t="s">
        <v>15</v>
      </c>
    </row>
    <row r="308" spans="1:18" ht="15" customHeight="1">
      <c r="A308" s="1125"/>
      <c r="B308" s="830"/>
      <c r="C308" s="830"/>
      <c r="D308" s="830"/>
      <c r="E308" s="830"/>
      <c r="F308" s="830"/>
      <c r="G308" s="830"/>
      <c r="H308" s="830"/>
      <c r="K308" s="840">
        <v>1</v>
      </c>
      <c r="L308" s="841" t="s">
        <v>48</v>
      </c>
      <c r="M308" s="792">
        <v>19</v>
      </c>
      <c r="N308" s="858">
        <v>4761.17</v>
      </c>
      <c r="O308" s="775">
        <v>376959</v>
      </c>
      <c r="P308" s="775">
        <v>179055525</v>
      </c>
      <c r="Q308" s="775">
        <v>33444000</v>
      </c>
      <c r="R308" s="772">
        <v>190</v>
      </c>
    </row>
    <row r="309" spans="1:18" s="903" customFormat="1" ht="15.75">
      <c r="A309" s="1125"/>
      <c r="B309" s="832"/>
      <c r="C309" s="833"/>
      <c r="D309" s="834" t="s">
        <v>12</v>
      </c>
      <c r="E309" s="834" t="s">
        <v>13</v>
      </c>
      <c r="F309" s="835" t="s">
        <v>14</v>
      </c>
      <c r="G309" s="835" t="s">
        <v>14</v>
      </c>
      <c r="H309" s="834" t="s">
        <v>15</v>
      </c>
      <c r="K309" s="840">
        <v>2</v>
      </c>
      <c r="L309" s="841" t="s">
        <v>41</v>
      </c>
      <c r="M309" s="792"/>
      <c r="N309" s="858"/>
      <c r="O309" s="775"/>
      <c r="P309" s="775"/>
      <c r="Q309" s="775"/>
      <c r="R309" s="772"/>
    </row>
    <row r="310" spans="1:18" s="903" customFormat="1" ht="15.75">
      <c r="A310" s="994"/>
      <c r="B310" s="832"/>
      <c r="C310" s="833"/>
      <c r="D310" s="834"/>
      <c r="E310" s="834"/>
      <c r="F310" s="835"/>
      <c r="G310" s="835"/>
      <c r="H310" s="834"/>
      <c r="K310" s="865"/>
      <c r="L310" s="853" t="s">
        <v>19</v>
      </c>
      <c r="M310" s="992">
        <f>SUM(M308:M309)</f>
        <v>19</v>
      </c>
      <c r="N310" s="995">
        <f>SUM(N308:N309)</f>
        <v>4761.17</v>
      </c>
      <c r="O310" s="992">
        <f>SUM(O308:O309)</f>
        <v>376959</v>
      </c>
      <c r="P310" s="993">
        <f>SUM(P308:P309)</f>
        <v>179055525</v>
      </c>
      <c r="Q310" s="993">
        <f>SUM(Q308:Q309)</f>
        <v>33444000</v>
      </c>
      <c r="R310" s="992">
        <f>SUM(R305:R308)</f>
        <v>190</v>
      </c>
    </row>
    <row r="311" spans="1:18" s="903" customFormat="1" ht="20.25">
      <c r="A311" s="994"/>
      <c r="B311" s="832"/>
      <c r="C311" s="833"/>
      <c r="D311" s="834"/>
      <c r="E311" s="834"/>
      <c r="F311" s="835"/>
      <c r="G311" s="835"/>
      <c r="H311" s="834"/>
      <c r="K311" s="826"/>
      <c r="L311" s="827"/>
      <c r="M311" s="807"/>
      <c r="N311" s="828" t="s">
        <v>97</v>
      </c>
      <c r="O311" s="809"/>
      <c r="P311" s="809"/>
      <c r="Q311" s="809"/>
      <c r="R311" s="829"/>
    </row>
    <row r="312" spans="1:18" ht="15" customHeight="1">
      <c r="A312" s="989">
        <v>1</v>
      </c>
      <c r="B312" s="841" t="s">
        <v>25</v>
      </c>
      <c r="C312" s="792">
        <v>35</v>
      </c>
      <c r="D312" s="858">
        <v>1850.634</v>
      </c>
      <c r="E312" s="775">
        <v>248844</v>
      </c>
      <c r="F312" s="775">
        <f>E312*280</f>
        <v>69676320</v>
      </c>
      <c r="G312" s="775">
        <v>24200500</v>
      </c>
      <c r="H312" s="772">
        <v>1475</v>
      </c>
      <c r="K312" s="1124" t="s">
        <v>4</v>
      </c>
      <c r="L312" s="831" t="s">
        <v>5</v>
      </c>
      <c r="M312" s="831" t="s">
        <v>6</v>
      </c>
      <c r="N312" s="831" t="s">
        <v>7</v>
      </c>
      <c r="O312" s="831" t="s">
        <v>8</v>
      </c>
      <c r="P312" s="831" t="s">
        <v>9</v>
      </c>
      <c r="Q312" s="831" t="s">
        <v>10</v>
      </c>
      <c r="R312" s="831" t="s">
        <v>11</v>
      </c>
    </row>
    <row r="313" spans="1:18" ht="15" customHeight="1">
      <c r="A313" s="989">
        <v>2</v>
      </c>
      <c r="B313" s="841" t="s">
        <v>31</v>
      </c>
      <c r="C313" s="792">
        <v>1</v>
      </c>
      <c r="D313" s="858">
        <v>5</v>
      </c>
      <c r="E313" s="775">
        <v>0</v>
      </c>
      <c r="F313" s="775"/>
      <c r="G313" s="775">
        <v>0</v>
      </c>
      <c r="H313" s="772"/>
      <c r="K313" s="1124"/>
      <c r="L313" s="836"/>
      <c r="M313" s="837"/>
      <c r="N313" s="838" t="s">
        <v>12</v>
      </c>
      <c r="O313" s="838" t="s">
        <v>13</v>
      </c>
      <c r="P313" s="839" t="s">
        <v>391</v>
      </c>
      <c r="Q313" s="839" t="s">
        <v>391</v>
      </c>
      <c r="R313" s="838" t="s">
        <v>15</v>
      </c>
    </row>
    <row r="314" spans="1:18" ht="15" customHeight="1">
      <c r="A314" s="989">
        <v>3</v>
      </c>
      <c r="B314" s="841" t="s">
        <v>39</v>
      </c>
      <c r="C314" s="792"/>
      <c r="D314" s="858">
        <v>0</v>
      </c>
      <c r="E314" s="775">
        <v>16604</v>
      </c>
      <c r="F314" s="996">
        <f>E314*200</f>
        <v>3320800</v>
      </c>
      <c r="G314" s="775">
        <v>603168</v>
      </c>
      <c r="H314" s="772"/>
      <c r="K314" s="840">
        <v>1</v>
      </c>
      <c r="L314" s="772" t="s">
        <v>98</v>
      </c>
      <c r="M314" s="997">
        <v>3</v>
      </c>
      <c r="N314" s="772">
        <v>706.25</v>
      </c>
      <c r="O314" s="997">
        <v>980523</v>
      </c>
      <c r="P314" s="996">
        <v>1961046000</v>
      </c>
      <c r="Q314" s="998">
        <v>151929000</v>
      </c>
      <c r="R314" s="999">
        <v>1500</v>
      </c>
    </row>
    <row r="315" spans="1:18" s="954" customFormat="1" ht="17.25" customHeight="1">
      <c r="A315" s="840"/>
      <c r="B315" s="847" t="s">
        <v>19</v>
      </c>
      <c r="C315" s="1000">
        <f aca="true" t="shared" si="50" ref="C315:H315">SUM(C309:C314)</f>
        <v>36</v>
      </c>
      <c r="D315" s="1000">
        <f t="shared" si="50"/>
        <v>1855.634</v>
      </c>
      <c r="E315" s="1001">
        <f t="shared" si="50"/>
        <v>265448</v>
      </c>
      <c r="F315" s="1001">
        <f t="shared" si="50"/>
        <v>72997120</v>
      </c>
      <c r="G315" s="1001">
        <f t="shared" si="50"/>
        <v>24803668</v>
      </c>
      <c r="H315" s="1000">
        <f t="shared" si="50"/>
        <v>1475</v>
      </c>
      <c r="K315" s="840">
        <v>2</v>
      </c>
      <c r="L315" s="772" t="s">
        <v>27</v>
      </c>
      <c r="M315" s="997">
        <v>3</v>
      </c>
      <c r="N315" s="772">
        <v>1824.39</v>
      </c>
      <c r="O315" s="997"/>
      <c r="P315" s="996"/>
      <c r="Q315" s="998">
        <v>1932000</v>
      </c>
      <c r="R315" s="999">
        <v>5</v>
      </c>
    </row>
    <row r="316" spans="1:18" ht="17.25" customHeight="1">
      <c r="A316" s="826"/>
      <c r="B316" s="827"/>
      <c r="C316" s="807"/>
      <c r="D316" s="857"/>
      <c r="E316" s="809"/>
      <c r="F316" s="809"/>
      <c r="G316" s="809"/>
      <c r="H316" s="829"/>
      <c r="K316" s="840">
        <v>3</v>
      </c>
      <c r="L316" s="772" t="s">
        <v>33</v>
      </c>
      <c r="M316" s="997">
        <v>9</v>
      </c>
      <c r="N316" s="772">
        <v>144.5694</v>
      </c>
      <c r="O316" s="997">
        <v>78138</v>
      </c>
      <c r="P316" s="996">
        <v>27348300</v>
      </c>
      <c r="Q316" s="998">
        <v>3177000</v>
      </c>
      <c r="R316" s="999">
        <v>25</v>
      </c>
    </row>
    <row r="317" spans="1:18" ht="17.25" customHeight="1">
      <c r="A317" s="826"/>
      <c r="B317" s="827"/>
      <c r="C317" s="807"/>
      <c r="D317" s="828" t="s">
        <v>97</v>
      </c>
      <c r="E317" s="809"/>
      <c r="F317" s="809"/>
      <c r="G317" s="809"/>
      <c r="H317" s="829"/>
      <c r="K317" s="840">
        <v>4</v>
      </c>
      <c r="L317" s="772" t="s">
        <v>39</v>
      </c>
      <c r="M317" s="997">
        <v>2</v>
      </c>
      <c r="N317" s="772">
        <v>38.1003</v>
      </c>
      <c r="O317" s="997"/>
      <c r="P317" s="996"/>
      <c r="Q317" s="998">
        <v>31000</v>
      </c>
      <c r="R317" s="999">
        <v>2</v>
      </c>
    </row>
    <row r="318" spans="1:18" ht="15" customHeight="1">
      <c r="A318" s="1125" t="s">
        <v>4</v>
      </c>
      <c r="B318" s="830" t="s">
        <v>5</v>
      </c>
      <c r="C318" s="830" t="s">
        <v>6</v>
      </c>
      <c r="D318" s="830" t="s">
        <v>7</v>
      </c>
      <c r="E318" s="830" t="s">
        <v>8</v>
      </c>
      <c r="F318" s="830" t="s">
        <v>9</v>
      </c>
      <c r="G318" s="830" t="s">
        <v>10</v>
      </c>
      <c r="H318" s="830" t="s">
        <v>11</v>
      </c>
      <c r="K318" s="840">
        <v>5</v>
      </c>
      <c r="L318" s="772" t="s">
        <v>31</v>
      </c>
      <c r="M318" s="997">
        <v>13</v>
      </c>
      <c r="N318" s="772">
        <v>169.6238</v>
      </c>
      <c r="O318" s="997">
        <v>270</v>
      </c>
      <c r="P318" s="996">
        <v>97200</v>
      </c>
      <c r="Q318" s="998">
        <v>1182000</v>
      </c>
      <c r="R318" s="999">
        <v>10</v>
      </c>
    </row>
    <row r="319" spans="1:18" s="903" customFormat="1" ht="15.75">
      <c r="A319" s="1125"/>
      <c r="B319" s="832"/>
      <c r="C319" s="833"/>
      <c r="D319" s="834" t="s">
        <v>12</v>
      </c>
      <c r="E319" s="834" t="s">
        <v>13</v>
      </c>
      <c r="F319" s="835" t="s">
        <v>14</v>
      </c>
      <c r="G319" s="835" t="s">
        <v>14</v>
      </c>
      <c r="H319" s="834" t="s">
        <v>15</v>
      </c>
      <c r="K319" s="840">
        <v>6</v>
      </c>
      <c r="L319" s="772" t="s">
        <v>100</v>
      </c>
      <c r="M319" s="997">
        <v>123</v>
      </c>
      <c r="N319" s="772">
        <v>1053.81</v>
      </c>
      <c r="O319" s="997">
        <v>679614</v>
      </c>
      <c r="P319" s="996">
        <v>237864900</v>
      </c>
      <c r="Q319" s="998">
        <v>29126000</v>
      </c>
      <c r="R319" s="999">
        <v>500</v>
      </c>
    </row>
    <row r="320" spans="1:18" ht="15" customHeight="1">
      <c r="A320" s="840">
        <v>1</v>
      </c>
      <c r="B320" s="772" t="s">
        <v>98</v>
      </c>
      <c r="C320" s="997">
        <v>3</v>
      </c>
      <c r="D320" s="997">
        <v>700.75</v>
      </c>
      <c r="E320" s="997">
        <v>1050614</v>
      </c>
      <c r="F320" s="996">
        <f>E320*2000</f>
        <v>2101228000</v>
      </c>
      <c r="G320" s="996">
        <v>89287000</v>
      </c>
      <c r="H320" s="999">
        <v>2000</v>
      </c>
      <c r="K320" s="840">
        <v>7</v>
      </c>
      <c r="L320" s="772" t="s">
        <v>25</v>
      </c>
      <c r="M320" s="997">
        <v>6</v>
      </c>
      <c r="N320" s="772">
        <v>174.285</v>
      </c>
      <c r="O320" s="997"/>
      <c r="P320" s="996"/>
      <c r="Q320" s="998">
        <v>2310000</v>
      </c>
      <c r="R320" s="999">
        <v>2</v>
      </c>
    </row>
    <row r="321" spans="1:18" ht="15" customHeight="1">
      <c r="A321" s="840">
        <v>2</v>
      </c>
      <c r="B321" s="772" t="s">
        <v>33</v>
      </c>
      <c r="C321" s="997">
        <v>9</v>
      </c>
      <c r="D321" s="997">
        <v>155.3885</v>
      </c>
      <c r="E321" s="997">
        <v>37494</v>
      </c>
      <c r="F321" s="996">
        <f>E321*250</f>
        <v>9373500</v>
      </c>
      <c r="G321" s="996">
        <v>756000</v>
      </c>
      <c r="H321" s="999">
        <v>125</v>
      </c>
      <c r="K321" s="840">
        <v>8</v>
      </c>
      <c r="L321" s="772" t="s">
        <v>50</v>
      </c>
      <c r="M321" s="997">
        <v>5</v>
      </c>
      <c r="N321" s="772">
        <v>101.5873</v>
      </c>
      <c r="O321" s="997">
        <v>6481</v>
      </c>
      <c r="P321" s="996"/>
      <c r="Q321" s="998">
        <v>104000</v>
      </c>
      <c r="R321" s="999">
        <v>5</v>
      </c>
    </row>
    <row r="322" spans="1:18" ht="15" customHeight="1">
      <c r="A322" s="840">
        <v>3</v>
      </c>
      <c r="B322" s="772" t="s">
        <v>31</v>
      </c>
      <c r="C322" s="997">
        <v>14</v>
      </c>
      <c r="D322" s="997">
        <v>167.8965</v>
      </c>
      <c r="E322" s="997">
        <v>90</v>
      </c>
      <c r="F322" s="996">
        <f>E322*500</f>
        <v>45000</v>
      </c>
      <c r="G322" s="996">
        <v>1264000</v>
      </c>
      <c r="H322" s="999">
        <v>30</v>
      </c>
      <c r="K322" s="840">
        <v>9</v>
      </c>
      <c r="L322" s="772" t="s">
        <v>47</v>
      </c>
      <c r="M322" s="997">
        <v>1</v>
      </c>
      <c r="N322" s="772">
        <v>32.5423</v>
      </c>
      <c r="O322" s="997"/>
      <c r="P322" s="996"/>
      <c r="Q322" s="998"/>
      <c r="R322" s="999"/>
    </row>
    <row r="323" spans="1:18" ht="15" customHeight="1">
      <c r="A323" s="840">
        <v>4</v>
      </c>
      <c r="B323" s="772" t="s">
        <v>47</v>
      </c>
      <c r="C323" s="997">
        <v>1</v>
      </c>
      <c r="D323" s="997">
        <v>32.543</v>
      </c>
      <c r="E323" s="997" t="s">
        <v>101</v>
      </c>
      <c r="F323" s="996"/>
      <c r="G323" s="996">
        <v>0</v>
      </c>
      <c r="H323" s="999">
        <v>0</v>
      </c>
      <c r="K323" s="840">
        <v>10</v>
      </c>
      <c r="L323" s="772" t="s">
        <v>357</v>
      </c>
      <c r="M323" s="997">
        <v>1</v>
      </c>
      <c r="N323" s="772">
        <v>4.914</v>
      </c>
      <c r="O323" s="997">
        <v>9500</v>
      </c>
      <c r="P323" s="996">
        <v>2850000</v>
      </c>
      <c r="Q323" s="1002">
        <v>566000</v>
      </c>
      <c r="R323" s="999">
        <v>20</v>
      </c>
    </row>
    <row r="324" spans="1:18" ht="15" customHeight="1">
      <c r="A324" s="840">
        <v>5</v>
      </c>
      <c r="B324" s="772" t="s">
        <v>39</v>
      </c>
      <c r="C324" s="997">
        <v>3</v>
      </c>
      <c r="D324" s="997">
        <v>70.104</v>
      </c>
      <c r="E324" s="997">
        <v>977</v>
      </c>
      <c r="F324" s="996">
        <f>E324*200</f>
        <v>195400</v>
      </c>
      <c r="G324" s="996">
        <v>15000</v>
      </c>
      <c r="H324" s="999">
        <v>20</v>
      </c>
      <c r="K324" s="840">
        <v>13</v>
      </c>
      <c r="L324" s="841" t="s">
        <v>41</v>
      </c>
      <c r="M324" s="997"/>
      <c r="N324" s="772"/>
      <c r="O324" s="997"/>
      <c r="P324" s="996"/>
      <c r="Q324" s="998"/>
      <c r="R324" s="999"/>
    </row>
    <row r="325" spans="1:18" ht="15" customHeight="1">
      <c r="A325" s="840">
        <v>6</v>
      </c>
      <c r="B325" s="772" t="s">
        <v>99</v>
      </c>
      <c r="C325" s="997">
        <v>2</v>
      </c>
      <c r="D325" s="997">
        <v>50.9873</v>
      </c>
      <c r="E325" s="997">
        <v>300</v>
      </c>
      <c r="F325" s="996">
        <f>E325*200</f>
        <v>60000</v>
      </c>
      <c r="G325" s="996">
        <v>14000</v>
      </c>
      <c r="H325" s="999"/>
      <c r="K325" s="865"/>
      <c r="L325" s="853" t="s">
        <v>19</v>
      </c>
      <c r="M325" s="1003">
        <f aca="true" t="shared" si="51" ref="M325:R325">SUM(M314:M324)</f>
        <v>166</v>
      </c>
      <c r="N325" s="988">
        <f t="shared" si="51"/>
        <v>4250.0721</v>
      </c>
      <c r="O325" s="987">
        <f t="shared" si="51"/>
        <v>1754526</v>
      </c>
      <c r="P325" s="987">
        <f t="shared" si="51"/>
        <v>2229206400</v>
      </c>
      <c r="Q325" s="987">
        <f t="shared" si="51"/>
        <v>190357000</v>
      </c>
      <c r="R325" s="1003">
        <f t="shared" si="51"/>
        <v>2069</v>
      </c>
    </row>
    <row r="326" spans="1:18" ht="15" customHeight="1">
      <c r="A326" s="840">
        <v>7</v>
      </c>
      <c r="B326" s="772" t="s">
        <v>100</v>
      </c>
      <c r="C326" s="997">
        <v>68</v>
      </c>
      <c r="D326" s="997">
        <v>620.4976</v>
      </c>
      <c r="E326" s="997">
        <v>93892</v>
      </c>
      <c r="F326" s="996">
        <f>E326*200</f>
        <v>18778400</v>
      </c>
      <c r="G326" s="996">
        <v>2024000</v>
      </c>
      <c r="H326" s="999">
        <v>150</v>
      </c>
      <c r="K326" s="826"/>
      <c r="L326" s="827"/>
      <c r="M326" s="807"/>
      <c r="N326" s="857"/>
      <c r="O326" s="809"/>
      <c r="P326" s="809"/>
      <c r="Q326" s="809"/>
      <c r="R326" s="829"/>
    </row>
    <row r="327" spans="1:18" ht="15" customHeight="1">
      <c r="A327" s="840">
        <v>8</v>
      </c>
      <c r="B327" s="772" t="s">
        <v>27</v>
      </c>
      <c r="C327" s="997">
        <v>3</v>
      </c>
      <c r="D327" s="997">
        <v>1823.139</v>
      </c>
      <c r="E327" s="997" t="s">
        <v>52</v>
      </c>
      <c r="F327" s="996"/>
      <c r="G327" s="996">
        <v>2060000</v>
      </c>
      <c r="H327" s="999"/>
      <c r="K327" s="826"/>
      <c r="L327" s="827"/>
      <c r="M327" s="807"/>
      <c r="N327" s="828" t="s">
        <v>102</v>
      </c>
      <c r="O327" s="809"/>
      <c r="P327" s="809"/>
      <c r="Q327" s="809"/>
      <c r="R327" s="829"/>
    </row>
    <row r="328" spans="1:18" ht="12.75" customHeight="1">
      <c r="A328" s="840">
        <v>9</v>
      </c>
      <c r="B328" s="772" t="s">
        <v>50</v>
      </c>
      <c r="C328" s="997">
        <v>2</v>
      </c>
      <c r="D328" s="997">
        <v>49</v>
      </c>
      <c r="E328" s="997" t="s">
        <v>101</v>
      </c>
      <c r="F328" s="996"/>
      <c r="G328" s="996">
        <v>100000</v>
      </c>
      <c r="H328" s="999">
        <v>2</v>
      </c>
      <c r="K328" s="1124" t="s">
        <v>4</v>
      </c>
      <c r="L328" s="831" t="s">
        <v>5</v>
      </c>
      <c r="M328" s="831" t="s">
        <v>6</v>
      </c>
      <c r="N328" s="831" t="s">
        <v>7</v>
      </c>
      <c r="O328" s="831" t="s">
        <v>8</v>
      </c>
      <c r="P328" s="831" t="s">
        <v>9</v>
      </c>
      <c r="Q328" s="831" t="s">
        <v>10</v>
      </c>
      <c r="R328" s="831" t="s">
        <v>11</v>
      </c>
    </row>
    <row r="329" spans="1:18" ht="15" customHeight="1">
      <c r="A329" s="840">
        <v>10</v>
      </c>
      <c r="B329" s="772" t="s">
        <v>17</v>
      </c>
      <c r="C329" s="997">
        <v>20</v>
      </c>
      <c r="D329" s="997">
        <v>187.4227</v>
      </c>
      <c r="E329" s="997">
        <v>63296</v>
      </c>
      <c r="F329" s="996">
        <f>E329*250</f>
        <v>15824000</v>
      </c>
      <c r="G329" s="996">
        <v>2750000</v>
      </c>
      <c r="H329" s="999">
        <v>200</v>
      </c>
      <c r="K329" s="1124"/>
      <c r="L329" s="836"/>
      <c r="M329" s="837"/>
      <c r="N329" s="838" t="s">
        <v>12</v>
      </c>
      <c r="O329" s="838" t="s">
        <v>13</v>
      </c>
      <c r="P329" s="839" t="s">
        <v>391</v>
      </c>
      <c r="Q329" s="839" t="s">
        <v>391</v>
      </c>
      <c r="R329" s="838" t="s">
        <v>15</v>
      </c>
    </row>
    <row r="330" spans="1:18" ht="15" customHeight="1">
      <c r="A330" s="840">
        <v>11</v>
      </c>
      <c r="B330" s="772" t="s">
        <v>72</v>
      </c>
      <c r="C330" s="997">
        <v>1</v>
      </c>
      <c r="D330" s="997">
        <v>4.919</v>
      </c>
      <c r="E330" s="997">
        <v>210</v>
      </c>
      <c r="F330" s="996">
        <f>E330*200</f>
        <v>42000</v>
      </c>
      <c r="G330" s="996">
        <v>44000</v>
      </c>
      <c r="H330" s="999">
        <v>10</v>
      </c>
      <c r="K330" s="840">
        <v>1</v>
      </c>
      <c r="L330" s="772" t="s">
        <v>27</v>
      </c>
      <c r="M330" s="772">
        <v>3</v>
      </c>
      <c r="N330" s="772">
        <v>1115.3</v>
      </c>
      <c r="O330" s="775">
        <v>12553460</v>
      </c>
      <c r="P330" s="775">
        <v>1380880600</v>
      </c>
      <c r="Q330" s="775">
        <v>828900000</v>
      </c>
      <c r="R330" s="772">
        <v>800</v>
      </c>
    </row>
    <row r="331" spans="1:18" ht="15" customHeight="1">
      <c r="A331" s="840">
        <v>12</v>
      </c>
      <c r="B331" s="772" t="s">
        <v>36</v>
      </c>
      <c r="C331" s="997">
        <v>20</v>
      </c>
      <c r="D331" s="997">
        <v>105.95</v>
      </c>
      <c r="E331" s="997">
        <v>167503</v>
      </c>
      <c r="F331" s="996">
        <f>E331*200</f>
        <v>33500600</v>
      </c>
      <c r="G331" s="996">
        <v>1610000</v>
      </c>
      <c r="H331" s="999">
        <v>250</v>
      </c>
      <c r="K331" s="840">
        <v>2</v>
      </c>
      <c r="L331" s="772" t="s">
        <v>22</v>
      </c>
      <c r="M331" s="772">
        <v>2</v>
      </c>
      <c r="N331" s="772">
        <v>77.86</v>
      </c>
      <c r="O331" s="775">
        <v>139799</v>
      </c>
      <c r="P331" s="775">
        <v>128615080</v>
      </c>
      <c r="Q331" s="775">
        <v>14700000</v>
      </c>
      <c r="R331" s="772">
        <v>240</v>
      </c>
    </row>
    <row r="332" spans="1:18" ht="15" customHeight="1">
      <c r="A332" s="840">
        <v>13</v>
      </c>
      <c r="B332" s="772" t="s">
        <v>25</v>
      </c>
      <c r="C332" s="997">
        <v>5</v>
      </c>
      <c r="D332" s="997">
        <v>167.281</v>
      </c>
      <c r="E332" s="997" t="s">
        <v>52</v>
      </c>
      <c r="F332" s="996"/>
      <c r="G332" s="996">
        <v>0</v>
      </c>
      <c r="H332" s="999">
        <v>5</v>
      </c>
      <c r="K332" s="840">
        <v>3</v>
      </c>
      <c r="L332" s="772" t="s">
        <v>31</v>
      </c>
      <c r="M332" s="772">
        <v>3</v>
      </c>
      <c r="N332" s="772">
        <v>211.57</v>
      </c>
      <c r="O332" s="775">
        <v>4045</v>
      </c>
      <c r="P332" s="775">
        <v>1456200</v>
      </c>
      <c r="Q332" s="775">
        <v>298000</v>
      </c>
      <c r="R332" s="772">
        <v>515</v>
      </c>
    </row>
    <row r="333" spans="1:18" s="954" customFormat="1" ht="18" customHeight="1">
      <c r="A333" s="840"/>
      <c r="B333" s="847" t="s">
        <v>19</v>
      </c>
      <c r="C333" s="1000">
        <f aca="true" t="shared" si="52" ref="C333:H333">SUM(C320:C332)</f>
        <v>151</v>
      </c>
      <c r="D333" s="1000">
        <f t="shared" si="52"/>
        <v>4135.8786</v>
      </c>
      <c r="E333" s="1001">
        <f t="shared" si="52"/>
        <v>1414376</v>
      </c>
      <c r="F333" s="1001">
        <f t="shared" si="52"/>
        <v>2179046900</v>
      </c>
      <c r="G333" s="1001">
        <f t="shared" si="52"/>
        <v>99924000</v>
      </c>
      <c r="H333" s="1000">
        <f t="shared" si="52"/>
        <v>2792</v>
      </c>
      <c r="K333" s="840">
        <v>4</v>
      </c>
      <c r="L333" s="772" t="s">
        <v>17</v>
      </c>
      <c r="M333" s="772">
        <v>14</v>
      </c>
      <c r="N333" s="772">
        <v>61.64</v>
      </c>
      <c r="O333" s="775">
        <v>6232</v>
      </c>
      <c r="P333" s="775">
        <v>1558000</v>
      </c>
      <c r="Q333" s="775">
        <v>1558000</v>
      </c>
      <c r="R333" s="772">
        <v>210</v>
      </c>
    </row>
    <row r="334" spans="1:18" ht="18" customHeight="1">
      <c r="A334" s="826"/>
      <c r="B334" s="827"/>
      <c r="C334" s="807"/>
      <c r="D334" s="857"/>
      <c r="E334" s="809"/>
      <c r="F334" s="809"/>
      <c r="G334" s="809"/>
      <c r="H334" s="829"/>
      <c r="K334" s="840">
        <v>5</v>
      </c>
      <c r="L334" s="772" t="s">
        <v>103</v>
      </c>
      <c r="M334" s="772">
        <v>2</v>
      </c>
      <c r="N334" s="772">
        <v>115</v>
      </c>
      <c r="O334" s="775"/>
      <c r="P334" s="775"/>
      <c r="Q334" s="775">
        <v>338000</v>
      </c>
      <c r="R334" s="772"/>
    </row>
    <row r="335" spans="1:18" ht="18" customHeight="1">
      <c r="A335" s="826"/>
      <c r="B335" s="827"/>
      <c r="C335" s="807"/>
      <c r="D335" s="828" t="s">
        <v>102</v>
      </c>
      <c r="E335" s="809"/>
      <c r="F335" s="809"/>
      <c r="G335" s="809"/>
      <c r="H335" s="829"/>
      <c r="K335" s="840"/>
      <c r="L335" s="853" t="s">
        <v>19</v>
      </c>
      <c r="M335" s="992">
        <f aca="true" t="shared" si="53" ref="M335:R335">SUM(M330:M334)</f>
        <v>24</v>
      </c>
      <c r="N335" s="992">
        <f t="shared" si="53"/>
        <v>1581.37</v>
      </c>
      <c r="O335" s="993">
        <f t="shared" si="53"/>
        <v>12703536</v>
      </c>
      <c r="P335" s="993">
        <f t="shared" si="53"/>
        <v>1512509880</v>
      </c>
      <c r="Q335" s="993">
        <f t="shared" si="53"/>
        <v>845794000</v>
      </c>
      <c r="R335" s="992">
        <f t="shared" si="53"/>
        <v>1765</v>
      </c>
    </row>
    <row r="336" spans="1:18" ht="15.75" customHeight="1">
      <c r="A336" s="1125" t="s">
        <v>4</v>
      </c>
      <c r="B336" s="830" t="s">
        <v>5</v>
      </c>
      <c r="C336" s="830" t="s">
        <v>6</v>
      </c>
      <c r="D336" s="830" t="s">
        <v>7</v>
      </c>
      <c r="E336" s="830" t="s">
        <v>8</v>
      </c>
      <c r="F336" s="830" t="s">
        <v>9</v>
      </c>
      <c r="G336" s="830" t="s">
        <v>10</v>
      </c>
      <c r="H336" s="830" t="s">
        <v>11</v>
      </c>
      <c r="K336" s="826"/>
      <c r="L336" s="827"/>
      <c r="M336" s="807"/>
      <c r="N336" s="857"/>
      <c r="O336" s="809"/>
      <c r="P336" s="809"/>
      <c r="Q336" s="809"/>
      <c r="R336" s="829"/>
    </row>
    <row r="337" spans="1:18" s="903" customFormat="1" ht="20.25">
      <c r="A337" s="1125"/>
      <c r="B337" s="832"/>
      <c r="C337" s="833"/>
      <c r="D337" s="834" t="s">
        <v>12</v>
      </c>
      <c r="E337" s="834" t="s">
        <v>13</v>
      </c>
      <c r="F337" s="835" t="s">
        <v>14</v>
      </c>
      <c r="G337" s="835" t="s">
        <v>14</v>
      </c>
      <c r="H337" s="834" t="s">
        <v>15</v>
      </c>
      <c r="K337" s="826"/>
      <c r="L337" s="827"/>
      <c r="M337" s="807"/>
      <c r="N337" s="828" t="s">
        <v>104</v>
      </c>
      <c r="O337" s="809"/>
      <c r="P337" s="809"/>
      <c r="Q337" s="809"/>
      <c r="R337" s="829"/>
    </row>
    <row r="338" spans="1:18" ht="15" customHeight="1">
      <c r="A338" s="840">
        <v>1</v>
      </c>
      <c r="B338" s="772" t="s">
        <v>31</v>
      </c>
      <c r="C338" s="958">
        <v>4</v>
      </c>
      <c r="D338" s="1004">
        <v>167.8</v>
      </c>
      <c r="E338" s="889">
        <v>24394</v>
      </c>
      <c r="F338" s="889">
        <v>9757600</v>
      </c>
      <c r="G338" s="889">
        <v>7753000</v>
      </c>
      <c r="H338" s="958">
        <v>510</v>
      </c>
      <c r="K338" s="1124" t="s">
        <v>4</v>
      </c>
      <c r="L338" s="831" t="s">
        <v>5</v>
      </c>
      <c r="M338" s="831" t="s">
        <v>6</v>
      </c>
      <c r="N338" s="831" t="s">
        <v>7</v>
      </c>
      <c r="O338" s="831" t="s">
        <v>8</v>
      </c>
      <c r="P338" s="831" t="s">
        <v>9</v>
      </c>
      <c r="Q338" s="831" t="s">
        <v>10</v>
      </c>
      <c r="R338" s="831" t="s">
        <v>11</v>
      </c>
    </row>
    <row r="339" spans="1:18" ht="15" customHeight="1">
      <c r="A339" s="840">
        <v>2</v>
      </c>
      <c r="B339" s="772" t="s">
        <v>103</v>
      </c>
      <c r="C339" s="958">
        <v>1</v>
      </c>
      <c r="D339" s="1004">
        <v>63</v>
      </c>
      <c r="E339" s="889">
        <v>0</v>
      </c>
      <c r="F339" s="889">
        <v>0</v>
      </c>
      <c r="G339" s="889">
        <v>75600</v>
      </c>
      <c r="H339" s="958">
        <v>0</v>
      </c>
      <c r="K339" s="1124"/>
      <c r="L339" s="836"/>
      <c r="M339" s="837"/>
      <c r="N339" s="838" t="s">
        <v>12</v>
      </c>
      <c r="O339" s="838" t="s">
        <v>13</v>
      </c>
      <c r="P339" s="839" t="s">
        <v>391</v>
      </c>
      <c r="Q339" s="839" t="s">
        <v>391</v>
      </c>
      <c r="R339" s="838" t="s">
        <v>15</v>
      </c>
    </row>
    <row r="340" spans="1:18" ht="15" customHeight="1">
      <c r="A340" s="840">
        <v>3</v>
      </c>
      <c r="B340" s="772" t="s">
        <v>27</v>
      </c>
      <c r="C340" s="958">
        <v>3</v>
      </c>
      <c r="D340" s="1004">
        <v>1115.3</v>
      </c>
      <c r="E340" s="889">
        <v>10611399</v>
      </c>
      <c r="F340" s="889">
        <v>1061139900</v>
      </c>
      <c r="G340" s="889">
        <v>484668705</v>
      </c>
      <c r="H340" s="958">
        <v>520</v>
      </c>
      <c r="K340" s="1005">
        <v>1</v>
      </c>
      <c r="L340" s="1006" t="s">
        <v>27</v>
      </c>
      <c r="M340" s="901">
        <v>3</v>
      </c>
      <c r="N340" s="1007">
        <v>1736.53</v>
      </c>
      <c r="O340" s="1008">
        <v>12159122</v>
      </c>
      <c r="P340" s="775">
        <v>3039780500</v>
      </c>
      <c r="Q340" s="775">
        <v>839053000</v>
      </c>
      <c r="R340" s="772">
        <v>212</v>
      </c>
    </row>
    <row r="341" spans="1:18" ht="15" customHeight="1">
      <c r="A341" s="840">
        <v>4</v>
      </c>
      <c r="B341" s="772" t="s">
        <v>17</v>
      </c>
      <c r="C341" s="958">
        <v>1</v>
      </c>
      <c r="D341" s="1004">
        <v>5</v>
      </c>
      <c r="E341" s="889">
        <v>250</v>
      </c>
      <c r="F341" s="889">
        <v>25000</v>
      </c>
      <c r="G341" s="889">
        <v>105650</v>
      </c>
      <c r="H341" s="958">
        <v>10</v>
      </c>
      <c r="K341" s="1005">
        <v>2</v>
      </c>
      <c r="L341" s="1006" t="s">
        <v>47</v>
      </c>
      <c r="M341" s="901">
        <v>18</v>
      </c>
      <c r="N341" s="1007">
        <v>543.4719</v>
      </c>
      <c r="O341" s="1008">
        <v>319840</v>
      </c>
      <c r="P341" s="775">
        <v>127936000</v>
      </c>
      <c r="Q341" s="775">
        <v>11194000</v>
      </c>
      <c r="R341" s="772">
        <v>126</v>
      </c>
    </row>
    <row r="342" spans="1:18" ht="15" customHeight="1">
      <c r="A342" s="840">
        <v>5</v>
      </c>
      <c r="B342" s="772" t="s">
        <v>22</v>
      </c>
      <c r="C342" s="958">
        <v>1</v>
      </c>
      <c r="D342" s="1004">
        <v>49.48</v>
      </c>
      <c r="E342" s="889">
        <v>110797</v>
      </c>
      <c r="F342" s="889">
        <v>99717300</v>
      </c>
      <c r="G342" s="889">
        <v>7625000</v>
      </c>
      <c r="H342" s="958">
        <v>255</v>
      </c>
      <c r="K342" s="1005">
        <v>3</v>
      </c>
      <c r="L342" s="1009" t="s">
        <v>72</v>
      </c>
      <c r="M342" s="1010">
        <v>36</v>
      </c>
      <c r="N342" s="1011">
        <v>223.006</v>
      </c>
      <c r="O342" s="775">
        <v>48570</v>
      </c>
      <c r="P342" s="775">
        <v>14571000</v>
      </c>
      <c r="Q342" s="775">
        <v>1457000</v>
      </c>
      <c r="R342" s="772">
        <v>180</v>
      </c>
    </row>
    <row r="343" spans="1:18" ht="15" customHeight="1">
      <c r="A343" s="840">
        <v>6</v>
      </c>
      <c r="B343" s="772" t="s">
        <v>41</v>
      </c>
      <c r="C343" s="958"/>
      <c r="D343" s="1004"/>
      <c r="E343" s="889"/>
      <c r="F343" s="889"/>
      <c r="G343" s="889">
        <v>63000</v>
      </c>
      <c r="H343" s="958"/>
      <c r="K343" s="1005">
        <v>4</v>
      </c>
      <c r="L343" s="1009" t="s">
        <v>22</v>
      </c>
      <c r="M343" s="891">
        <v>1</v>
      </c>
      <c r="N343" s="1012">
        <v>4</v>
      </c>
      <c r="O343" s="775"/>
      <c r="P343" s="775"/>
      <c r="Q343" s="775"/>
      <c r="R343" s="772"/>
    </row>
    <row r="344" spans="1:18" ht="15" customHeight="1">
      <c r="A344" s="840"/>
      <c r="B344" s="772"/>
      <c r="C344" s="958"/>
      <c r="D344" s="1004"/>
      <c r="E344" s="889"/>
      <c r="F344" s="889"/>
      <c r="G344" s="889"/>
      <c r="H344" s="958"/>
      <c r="K344" s="1005">
        <v>5</v>
      </c>
      <c r="L344" s="1009" t="s">
        <v>16</v>
      </c>
      <c r="M344" s="891"/>
      <c r="N344" s="1009"/>
      <c r="O344" s="775"/>
      <c r="P344" s="775"/>
      <c r="Q344" s="775"/>
      <c r="R344" s="772"/>
    </row>
    <row r="345" spans="1:18" s="954" customFormat="1" ht="15.75">
      <c r="A345" s="840"/>
      <c r="B345" s="847" t="s">
        <v>19</v>
      </c>
      <c r="C345" s="1000">
        <f>SUM(C338:C342)</f>
        <v>10</v>
      </c>
      <c r="D345" s="1000">
        <f>SUM(D338:D342)</f>
        <v>1400.58</v>
      </c>
      <c r="E345" s="1001">
        <f>SUM(E338:E342)</f>
        <v>10746840</v>
      </c>
      <c r="F345" s="1001">
        <f>SUM(F338:F342)</f>
        <v>1170639800</v>
      </c>
      <c r="G345" s="1001">
        <f>SUM(G338:G343)</f>
        <v>500290955</v>
      </c>
      <c r="H345" s="1000">
        <f>SUM(H338:H342)</f>
        <v>1295</v>
      </c>
      <c r="K345" s="1005">
        <v>6</v>
      </c>
      <c r="L345" s="1013" t="s">
        <v>24</v>
      </c>
      <c r="M345" s="891">
        <v>1</v>
      </c>
      <c r="N345" s="1012">
        <v>5</v>
      </c>
      <c r="O345" s="775"/>
      <c r="P345" s="775"/>
      <c r="Q345" s="775"/>
      <c r="R345" s="772"/>
    </row>
    <row r="346" spans="1:18" ht="14.25" customHeight="1">
      <c r="A346" s="826"/>
      <c r="B346" s="827"/>
      <c r="C346" s="807"/>
      <c r="D346" s="857"/>
      <c r="E346" s="809"/>
      <c r="F346" s="809"/>
      <c r="G346" s="809"/>
      <c r="H346" s="829"/>
      <c r="K346" s="1005">
        <v>7</v>
      </c>
      <c r="L346" s="1009" t="s">
        <v>48</v>
      </c>
      <c r="M346" s="891"/>
      <c r="N346" s="1009"/>
      <c r="O346" s="775"/>
      <c r="P346" s="775"/>
      <c r="Q346" s="775"/>
      <c r="R346" s="772"/>
    </row>
    <row r="347" spans="1:18" ht="15" customHeight="1">
      <c r="A347" s="826"/>
      <c r="B347" s="827"/>
      <c r="C347" s="807"/>
      <c r="D347" s="828" t="s">
        <v>104</v>
      </c>
      <c r="E347" s="809"/>
      <c r="F347" s="809"/>
      <c r="G347" s="809"/>
      <c r="H347" s="829"/>
      <c r="K347" s="865"/>
      <c r="L347" s="853" t="s">
        <v>19</v>
      </c>
      <c r="M347" s="992">
        <f aca="true" t="shared" si="54" ref="M347:R347">SUM(M340:M346)</f>
        <v>59</v>
      </c>
      <c r="N347" s="992">
        <f t="shared" si="54"/>
        <v>2512.0079</v>
      </c>
      <c r="O347" s="993">
        <f t="shared" si="54"/>
        <v>12527532</v>
      </c>
      <c r="P347" s="993">
        <f t="shared" si="54"/>
        <v>3182287500</v>
      </c>
      <c r="Q347" s="993">
        <f t="shared" si="54"/>
        <v>851704000</v>
      </c>
      <c r="R347" s="992">
        <f t="shared" si="54"/>
        <v>518</v>
      </c>
    </row>
    <row r="348" spans="1:18" ht="12.75" customHeight="1" hidden="1">
      <c r="A348" s="1125" t="s">
        <v>4</v>
      </c>
      <c r="B348" s="830" t="s">
        <v>5</v>
      </c>
      <c r="C348" s="830" t="s">
        <v>6</v>
      </c>
      <c r="D348" s="830" t="s">
        <v>7</v>
      </c>
      <c r="E348" s="830" t="s">
        <v>8</v>
      </c>
      <c r="F348" s="830" t="s">
        <v>9</v>
      </c>
      <c r="G348" s="830" t="s">
        <v>10</v>
      </c>
      <c r="H348" s="830" t="s">
        <v>11</v>
      </c>
      <c r="K348" s="826"/>
      <c r="L348" s="827"/>
      <c r="M348" s="807"/>
      <c r="N348" s="857"/>
      <c r="O348" s="809"/>
      <c r="P348" s="809"/>
      <c r="Q348" s="809"/>
      <c r="R348" s="829"/>
    </row>
    <row r="349" spans="1:18" s="903" customFormat="1" ht="15.75" hidden="1">
      <c r="A349" s="1125"/>
      <c r="B349" s="832"/>
      <c r="C349" s="833"/>
      <c r="D349" s="834" t="s">
        <v>12</v>
      </c>
      <c r="E349" s="834" t="s">
        <v>13</v>
      </c>
      <c r="F349" s="835" t="s">
        <v>14</v>
      </c>
      <c r="G349" s="835" t="s">
        <v>14</v>
      </c>
      <c r="H349" s="834" t="s">
        <v>15</v>
      </c>
      <c r="K349" s="791"/>
      <c r="L349" s="791"/>
      <c r="M349" s="791"/>
      <c r="N349" s="791"/>
      <c r="O349" s="791"/>
      <c r="P349" s="791"/>
      <c r="Q349" s="791"/>
      <c r="R349" s="791"/>
    </row>
    <row r="350" spans="1:18" ht="12.75" customHeight="1" hidden="1">
      <c r="A350" s="840">
        <v>2</v>
      </c>
      <c r="B350" s="772" t="s">
        <v>47</v>
      </c>
      <c r="C350" s="955">
        <v>15</v>
      </c>
      <c r="D350" s="956">
        <v>650.6</v>
      </c>
      <c r="E350" s="957">
        <v>138955</v>
      </c>
      <c r="F350" s="957">
        <f>E350*400</f>
        <v>55582000</v>
      </c>
      <c r="G350" s="957">
        <v>3196000</v>
      </c>
      <c r="H350" s="958">
        <v>75</v>
      </c>
      <c r="K350" s="861"/>
      <c r="L350" s="861"/>
      <c r="M350" s="861"/>
      <c r="N350" s="861"/>
      <c r="O350" s="861"/>
      <c r="P350" s="861"/>
      <c r="Q350" s="861"/>
      <c r="R350" s="861"/>
    </row>
    <row r="351" spans="1:18" ht="12.75" customHeight="1" hidden="1">
      <c r="A351" s="840">
        <v>3</v>
      </c>
      <c r="B351" s="772" t="s">
        <v>72</v>
      </c>
      <c r="C351" s="955">
        <v>16</v>
      </c>
      <c r="D351" s="956">
        <v>307.636</v>
      </c>
      <c r="E351" s="957">
        <v>34285</v>
      </c>
      <c r="F351" s="957">
        <f>E351*150</f>
        <v>5142750</v>
      </c>
      <c r="G351" s="957">
        <v>1228000</v>
      </c>
      <c r="H351" s="958">
        <v>200</v>
      </c>
      <c r="K351" s="791"/>
      <c r="L351" s="791"/>
      <c r="M351" s="791"/>
      <c r="N351" s="791"/>
      <c r="O351" s="791"/>
      <c r="P351" s="791"/>
      <c r="Q351" s="791"/>
      <c r="R351" s="791"/>
    </row>
    <row r="352" spans="1:18" s="861" customFormat="1" ht="12.75" customHeight="1" hidden="1">
      <c r="A352" s="840">
        <v>4</v>
      </c>
      <c r="B352" s="772" t="s">
        <v>48</v>
      </c>
      <c r="C352" s="955">
        <v>1</v>
      </c>
      <c r="D352" s="956">
        <v>161.55</v>
      </c>
      <c r="E352" s="957"/>
      <c r="F352" s="957"/>
      <c r="G352" s="957"/>
      <c r="H352" s="958">
        <v>100</v>
      </c>
      <c r="K352" s="862"/>
      <c r="L352" s="862"/>
      <c r="M352" s="862"/>
      <c r="N352" s="862"/>
      <c r="O352" s="862"/>
      <c r="P352" s="862"/>
      <c r="Q352" s="862"/>
      <c r="R352" s="862"/>
    </row>
    <row r="353" spans="1:18" ht="12.75" customHeight="1" hidden="1">
      <c r="A353" s="840">
        <v>5</v>
      </c>
      <c r="B353" s="772" t="s">
        <v>27</v>
      </c>
      <c r="C353" s="955">
        <v>3</v>
      </c>
      <c r="D353" s="956">
        <v>1736.53</v>
      </c>
      <c r="E353" s="957">
        <v>10843752.38</v>
      </c>
      <c r="F353" s="957"/>
      <c r="G353" s="957">
        <v>492240000</v>
      </c>
      <c r="H353" s="958">
        <v>363</v>
      </c>
      <c r="K353" s="791"/>
      <c r="L353" s="791"/>
      <c r="M353" s="791"/>
      <c r="N353" s="791"/>
      <c r="O353" s="791"/>
      <c r="P353" s="791"/>
      <c r="Q353" s="791"/>
      <c r="R353" s="791"/>
    </row>
    <row r="354" spans="1:18" s="862" customFormat="1" ht="12.75" customHeight="1" hidden="1">
      <c r="A354" s="840">
        <v>6</v>
      </c>
      <c r="B354" s="772" t="s">
        <v>24</v>
      </c>
      <c r="C354" s="955">
        <v>2</v>
      </c>
      <c r="D354" s="956">
        <v>10</v>
      </c>
      <c r="E354" s="956">
        <v>31.75</v>
      </c>
      <c r="F354" s="957"/>
      <c r="G354" s="957"/>
      <c r="H354" s="958">
        <v>5</v>
      </c>
      <c r="K354" s="954"/>
      <c r="L354" s="954"/>
      <c r="M354" s="954"/>
      <c r="N354" s="954"/>
      <c r="O354" s="954"/>
      <c r="P354" s="954"/>
      <c r="Q354" s="954"/>
      <c r="R354" s="954"/>
    </row>
    <row r="355" spans="1:18" ht="12.75" customHeight="1" hidden="1">
      <c r="A355" s="840">
        <v>7</v>
      </c>
      <c r="B355" s="772" t="s">
        <v>22</v>
      </c>
      <c r="C355" s="955">
        <v>1</v>
      </c>
      <c r="D355" s="956">
        <v>4</v>
      </c>
      <c r="E355" s="957"/>
      <c r="F355" s="957"/>
      <c r="G355" s="957"/>
      <c r="H355" s="958"/>
      <c r="K355" s="826"/>
      <c r="L355" s="827"/>
      <c r="M355" s="807"/>
      <c r="N355" s="857"/>
      <c r="O355" s="809"/>
      <c r="P355" s="809"/>
      <c r="Q355" s="809"/>
      <c r="R355" s="829"/>
    </row>
    <row r="356" spans="1:18" s="954" customFormat="1" ht="18.75" customHeight="1">
      <c r="A356" s="840"/>
      <c r="B356" s="847" t="s">
        <v>19</v>
      </c>
      <c r="C356" s="1000">
        <f aca="true" t="shared" si="55" ref="C356:H356">SUM(C350:C355)</f>
        <v>38</v>
      </c>
      <c r="D356" s="1000">
        <f t="shared" si="55"/>
        <v>2870.316</v>
      </c>
      <c r="E356" s="1001">
        <f t="shared" si="55"/>
        <v>11017024.13</v>
      </c>
      <c r="F356" s="1001">
        <f t="shared" si="55"/>
        <v>60724750</v>
      </c>
      <c r="G356" s="1001">
        <f t="shared" si="55"/>
        <v>496664000</v>
      </c>
      <c r="H356" s="1000">
        <f t="shared" si="55"/>
        <v>743</v>
      </c>
      <c r="K356" s="826"/>
      <c r="L356" s="827"/>
      <c r="M356" s="807"/>
      <c r="N356" s="828" t="s">
        <v>105</v>
      </c>
      <c r="O356" s="809"/>
      <c r="P356" s="809"/>
      <c r="Q356" s="809"/>
      <c r="R356" s="829"/>
    </row>
    <row r="357" spans="1:18" ht="15.75" customHeight="1">
      <c r="A357" s="826"/>
      <c r="B357" s="827"/>
      <c r="C357" s="807"/>
      <c r="D357" s="857"/>
      <c r="E357" s="809"/>
      <c r="F357" s="809"/>
      <c r="G357" s="809"/>
      <c r="H357" s="829"/>
      <c r="K357" s="1124" t="s">
        <v>4</v>
      </c>
      <c r="L357" s="831" t="s">
        <v>5</v>
      </c>
      <c r="M357" s="831" t="s">
        <v>6</v>
      </c>
      <c r="N357" s="831" t="s">
        <v>7</v>
      </c>
      <c r="O357" s="831" t="s">
        <v>8</v>
      </c>
      <c r="P357" s="831" t="s">
        <v>9</v>
      </c>
      <c r="Q357" s="831" t="s">
        <v>10</v>
      </c>
      <c r="R357" s="831" t="s">
        <v>11</v>
      </c>
    </row>
    <row r="358" spans="1:18" ht="15" customHeight="1">
      <c r="A358" s="826"/>
      <c r="B358" s="827"/>
      <c r="C358" s="807"/>
      <c r="D358" s="828" t="s">
        <v>106</v>
      </c>
      <c r="E358" s="809"/>
      <c r="F358" s="809"/>
      <c r="G358" s="809"/>
      <c r="H358" s="829"/>
      <c r="K358" s="1124"/>
      <c r="L358" s="836"/>
      <c r="M358" s="837"/>
      <c r="N358" s="838" t="s">
        <v>12</v>
      </c>
      <c r="O358" s="838" t="s">
        <v>13</v>
      </c>
      <c r="P358" s="839" t="s">
        <v>391</v>
      </c>
      <c r="Q358" s="839" t="s">
        <v>391</v>
      </c>
      <c r="R358" s="838" t="s">
        <v>15</v>
      </c>
    </row>
    <row r="359" spans="1:18" ht="15" customHeight="1">
      <c r="A359" s="1125" t="s">
        <v>4</v>
      </c>
      <c r="B359" s="830" t="s">
        <v>5</v>
      </c>
      <c r="C359" s="830" t="s">
        <v>6</v>
      </c>
      <c r="D359" s="830" t="s">
        <v>7</v>
      </c>
      <c r="E359" s="830" t="s">
        <v>8</v>
      </c>
      <c r="F359" s="830" t="s">
        <v>9</v>
      </c>
      <c r="G359" s="830" t="s">
        <v>10</v>
      </c>
      <c r="H359" s="830" t="s">
        <v>11</v>
      </c>
      <c r="K359" s="1005">
        <v>1</v>
      </c>
      <c r="L359" s="1009" t="s">
        <v>17</v>
      </c>
      <c r="M359" s="891">
        <v>54</v>
      </c>
      <c r="N359" s="892">
        <v>774.9639</v>
      </c>
      <c r="O359" s="775">
        <v>154900</v>
      </c>
      <c r="P359" s="775">
        <v>30330000</v>
      </c>
      <c r="Q359" s="775">
        <v>6196000</v>
      </c>
      <c r="R359" s="772">
        <v>195</v>
      </c>
    </row>
    <row r="360" spans="1:18" s="903" customFormat="1" ht="15.75">
      <c r="A360" s="1125"/>
      <c r="B360" s="832"/>
      <c r="C360" s="833"/>
      <c r="D360" s="834" t="s">
        <v>12</v>
      </c>
      <c r="E360" s="834" t="s">
        <v>13</v>
      </c>
      <c r="F360" s="835" t="s">
        <v>14</v>
      </c>
      <c r="G360" s="835" t="s">
        <v>14</v>
      </c>
      <c r="H360" s="834" t="s">
        <v>15</v>
      </c>
      <c r="K360" s="904">
        <v>2</v>
      </c>
      <c r="L360" s="841" t="s">
        <v>21</v>
      </c>
      <c r="M360" s="891"/>
      <c r="N360" s="892"/>
      <c r="O360" s="775">
        <v>2875</v>
      </c>
      <c r="P360" s="775">
        <v>575000</v>
      </c>
      <c r="Q360" s="775">
        <v>115000</v>
      </c>
      <c r="R360" s="772">
        <v>7</v>
      </c>
    </row>
    <row r="361" spans="1:18" ht="15" customHeight="1">
      <c r="A361" s="840">
        <v>1</v>
      </c>
      <c r="B361" s="841" t="s">
        <v>48</v>
      </c>
      <c r="C361" s="792">
        <v>14</v>
      </c>
      <c r="D361" s="858">
        <v>4400.797</v>
      </c>
      <c r="E361" s="775">
        <v>724317.67</v>
      </c>
      <c r="F361" s="775">
        <v>170214652.5</v>
      </c>
      <c r="G361" s="775">
        <v>54576354</v>
      </c>
      <c r="H361" s="772">
        <v>140</v>
      </c>
      <c r="K361" s="840">
        <v>3</v>
      </c>
      <c r="L361" s="841" t="s">
        <v>36</v>
      </c>
      <c r="M361" s="792">
        <v>3</v>
      </c>
      <c r="N361" s="892">
        <v>14.0612</v>
      </c>
      <c r="O361" s="775"/>
      <c r="P361" s="775"/>
      <c r="Q361" s="775">
        <v>115000</v>
      </c>
      <c r="R361" s="772"/>
    </row>
    <row r="362" spans="1:18" ht="15" customHeight="1">
      <c r="A362" s="840">
        <v>2</v>
      </c>
      <c r="B362" s="841" t="s">
        <v>41</v>
      </c>
      <c r="C362" s="792"/>
      <c r="D362" s="858"/>
      <c r="E362" s="775"/>
      <c r="F362" s="775"/>
      <c r="G362" s="775">
        <v>661213</v>
      </c>
      <c r="H362" s="772"/>
      <c r="K362" s="840">
        <v>4</v>
      </c>
      <c r="L362" s="841" t="s">
        <v>387</v>
      </c>
      <c r="M362" s="792">
        <v>4</v>
      </c>
      <c r="N362" s="775">
        <v>19.7583</v>
      </c>
      <c r="P362" s="775"/>
      <c r="Q362" s="775">
        <v>94000</v>
      </c>
      <c r="R362" s="772"/>
    </row>
    <row r="363" spans="1:18" s="954" customFormat="1" ht="15.75" customHeight="1">
      <c r="A363" s="840"/>
      <c r="B363" s="847" t="s">
        <v>19</v>
      </c>
      <c r="C363" s="1000">
        <f>SUM(C361:C362)</f>
        <v>14</v>
      </c>
      <c r="D363" s="1000">
        <f>SUM(D361:D362)</f>
        <v>4400.797</v>
      </c>
      <c r="E363" s="1000">
        <f>SUM(E361:E362)</f>
        <v>724317.67</v>
      </c>
      <c r="F363" s="1001">
        <f>SUM(F361:F362)</f>
        <v>170214652.5</v>
      </c>
      <c r="G363" s="1001">
        <f>SUM(G361:G362)</f>
        <v>55237567</v>
      </c>
      <c r="H363" s="1000">
        <f>SUM(H358:H361)</f>
        <v>140</v>
      </c>
      <c r="K363" s="865"/>
      <c r="L363" s="853" t="s">
        <v>19</v>
      </c>
      <c r="M363" s="992">
        <f aca="true" t="shared" si="56" ref="M363:R363">SUM(M359:M362)</f>
        <v>61</v>
      </c>
      <c r="N363" s="995">
        <f>SUM(N359:N362)</f>
        <v>808.7833999999999</v>
      </c>
      <c r="O363" s="992">
        <f t="shared" si="56"/>
        <v>157775</v>
      </c>
      <c r="P363" s="992">
        <f t="shared" si="56"/>
        <v>30905000</v>
      </c>
      <c r="Q363" s="993">
        <f t="shared" si="56"/>
        <v>6520000</v>
      </c>
      <c r="R363" s="992">
        <f t="shared" si="56"/>
        <v>202</v>
      </c>
    </row>
    <row r="364" spans="1:18" ht="11.25" customHeight="1">
      <c r="A364" s="826"/>
      <c r="B364" s="827"/>
      <c r="C364" s="807"/>
      <c r="D364" s="857"/>
      <c r="E364" s="809"/>
      <c r="F364" s="809"/>
      <c r="G364" s="809"/>
      <c r="H364" s="829"/>
      <c r="K364" s="826"/>
      <c r="L364" s="874"/>
      <c r="M364" s="876"/>
      <c r="N364" s="939"/>
      <c r="O364" s="877"/>
      <c r="P364" s="877"/>
      <c r="Q364" s="877"/>
      <c r="R364" s="876"/>
    </row>
    <row r="365" spans="1:20" ht="21" customHeight="1">
      <c r="A365" s="826"/>
      <c r="B365" s="827"/>
      <c r="C365" s="807"/>
      <c r="D365" s="828" t="s">
        <v>105</v>
      </c>
      <c r="E365" s="809"/>
      <c r="F365" s="809"/>
      <c r="G365" s="809"/>
      <c r="H365" s="829"/>
      <c r="K365" s="826"/>
      <c r="L365" s="827"/>
      <c r="M365" s="807"/>
      <c r="N365" s="828" t="s">
        <v>108</v>
      </c>
      <c r="O365" s="809"/>
      <c r="P365" s="809"/>
      <c r="Q365" s="809"/>
      <c r="R365" s="829"/>
      <c r="T365" s="791" t="s">
        <v>356</v>
      </c>
    </row>
    <row r="366" spans="1:18" ht="15" customHeight="1">
      <c r="A366" s="1125" t="s">
        <v>4</v>
      </c>
      <c r="B366" s="830" t="s">
        <v>5</v>
      </c>
      <c r="C366" s="830" t="s">
        <v>6</v>
      </c>
      <c r="D366" s="830" t="s">
        <v>7</v>
      </c>
      <c r="E366" s="830" t="s">
        <v>8</v>
      </c>
      <c r="F366" s="830" t="s">
        <v>9</v>
      </c>
      <c r="G366" s="830" t="s">
        <v>10</v>
      </c>
      <c r="H366" s="830" t="s">
        <v>11</v>
      </c>
      <c r="K366" s="1124" t="s">
        <v>4</v>
      </c>
      <c r="L366" s="831" t="s">
        <v>5</v>
      </c>
      <c r="M366" s="831" t="s">
        <v>6</v>
      </c>
      <c r="N366" s="831" t="s">
        <v>7</v>
      </c>
      <c r="O366" s="831" t="s">
        <v>8</v>
      </c>
      <c r="P366" s="831" t="s">
        <v>9</v>
      </c>
      <c r="Q366" s="831" t="s">
        <v>10</v>
      </c>
      <c r="R366" s="831" t="s">
        <v>11</v>
      </c>
    </row>
    <row r="367" spans="1:18" s="1014" customFormat="1" ht="15.75">
      <c r="A367" s="1125"/>
      <c r="B367" s="832"/>
      <c r="C367" s="833"/>
      <c r="D367" s="834" t="s">
        <v>12</v>
      </c>
      <c r="E367" s="834" t="s">
        <v>13</v>
      </c>
      <c r="F367" s="835" t="s">
        <v>14</v>
      </c>
      <c r="G367" s="835" t="s">
        <v>14</v>
      </c>
      <c r="H367" s="834" t="s">
        <v>15</v>
      </c>
      <c r="K367" s="1124"/>
      <c r="L367" s="836"/>
      <c r="M367" s="837"/>
      <c r="N367" s="838" t="s">
        <v>12</v>
      </c>
      <c r="O367" s="838" t="s">
        <v>13</v>
      </c>
      <c r="P367" s="839" t="s">
        <v>391</v>
      </c>
      <c r="Q367" s="839" t="s">
        <v>391</v>
      </c>
      <c r="R367" s="838" t="s">
        <v>15</v>
      </c>
    </row>
    <row r="368" spans="1:18" ht="15" customHeight="1">
      <c r="A368" s="904">
        <v>1</v>
      </c>
      <c r="B368" s="841" t="s">
        <v>17</v>
      </c>
      <c r="C368" s="891">
        <v>36</v>
      </c>
      <c r="D368" s="892">
        <v>776.758</v>
      </c>
      <c r="E368" s="775">
        <v>92610</v>
      </c>
      <c r="F368" s="775">
        <v>18522000</v>
      </c>
      <c r="G368" s="775">
        <v>1852200</v>
      </c>
      <c r="H368" s="772">
        <v>200</v>
      </c>
      <c r="K368" s="840">
        <v>1</v>
      </c>
      <c r="L368" s="1015" t="s">
        <v>25</v>
      </c>
      <c r="M368" s="1015">
        <v>38</v>
      </c>
      <c r="N368" s="1015">
        <v>2747.958</v>
      </c>
      <c r="O368" s="1016">
        <v>39525</v>
      </c>
      <c r="P368" s="1016">
        <v>24703125</v>
      </c>
      <c r="Q368" s="1017">
        <v>11660000</v>
      </c>
      <c r="R368" s="1015">
        <v>250</v>
      </c>
    </row>
    <row r="369" spans="1:18" ht="15" customHeight="1">
      <c r="A369" s="904">
        <v>2</v>
      </c>
      <c r="B369" s="841" t="s">
        <v>21</v>
      </c>
      <c r="C369" s="891"/>
      <c r="D369" s="892"/>
      <c r="E369" s="775">
        <v>30870</v>
      </c>
      <c r="F369" s="775">
        <v>6174000</v>
      </c>
      <c r="G369" s="775">
        <v>617400</v>
      </c>
      <c r="H369" s="772">
        <v>200</v>
      </c>
      <c r="K369" s="840">
        <v>2</v>
      </c>
      <c r="L369" s="1015" t="s">
        <v>39</v>
      </c>
      <c r="M369" s="1015"/>
      <c r="N369" s="1015"/>
      <c r="O369" s="1016">
        <v>238063</v>
      </c>
      <c r="P369" s="1016">
        <v>119031500</v>
      </c>
      <c r="Q369" s="1018">
        <v>14998000</v>
      </c>
      <c r="R369" s="1015"/>
    </row>
    <row r="370" spans="1:18" ht="15" customHeight="1">
      <c r="A370" s="840">
        <v>3</v>
      </c>
      <c r="B370" s="841" t="s">
        <v>62</v>
      </c>
      <c r="C370" s="792">
        <v>12</v>
      </c>
      <c r="D370" s="858">
        <v>209.4</v>
      </c>
      <c r="E370" s="775"/>
      <c r="F370" s="775"/>
      <c r="G370" s="775">
        <v>493000</v>
      </c>
      <c r="H370" s="772"/>
      <c r="K370" s="840">
        <v>3</v>
      </c>
      <c r="L370" s="1015" t="s">
        <v>35</v>
      </c>
      <c r="M370" s="1015">
        <v>6</v>
      </c>
      <c r="N370" s="1015">
        <v>196.354</v>
      </c>
      <c r="O370" s="1016">
        <v>21850</v>
      </c>
      <c r="P370" s="1016">
        <v>4588500</v>
      </c>
      <c r="Q370" s="1018">
        <v>874000</v>
      </c>
      <c r="R370" s="1015">
        <v>85</v>
      </c>
    </row>
    <row r="371" spans="1:18" ht="15" customHeight="1">
      <c r="A371" s="840">
        <v>4</v>
      </c>
      <c r="B371" s="841" t="s">
        <v>36</v>
      </c>
      <c r="C371" s="792">
        <v>7</v>
      </c>
      <c r="D371" s="858">
        <v>290.852</v>
      </c>
      <c r="E371" s="775">
        <v>30870</v>
      </c>
      <c r="F371" s="775">
        <v>6174000</v>
      </c>
      <c r="G371" s="775">
        <v>617400</v>
      </c>
      <c r="H371" s="772">
        <v>100</v>
      </c>
      <c r="K371" s="840">
        <v>4</v>
      </c>
      <c r="L371" s="1015" t="s">
        <v>110</v>
      </c>
      <c r="M371" s="1015">
        <v>5</v>
      </c>
      <c r="N371" s="1015">
        <v>168.2</v>
      </c>
      <c r="O371" s="1019">
        <v>49250</v>
      </c>
      <c r="P371" s="1016">
        <v>17237500</v>
      </c>
      <c r="Q371" s="1020">
        <v>1035000</v>
      </c>
      <c r="R371" s="1015">
        <v>50</v>
      </c>
    </row>
    <row r="372" spans="1:18" ht="15" customHeight="1">
      <c r="A372" s="840">
        <v>5</v>
      </c>
      <c r="B372" s="772" t="s">
        <v>27</v>
      </c>
      <c r="C372" s="792"/>
      <c r="D372" s="858"/>
      <c r="E372" s="775"/>
      <c r="F372" s="775"/>
      <c r="G372" s="775">
        <v>6238000</v>
      </c>
      <c r="H372" s="772"/>
      <c r="K372" s="840">
        <v>5</v>
      </c>
      <c r="L372" s="1015" t="s">
        <v>111</v>
      </c>
      <c r="M372" s="1015">
        <v>5</v>
      </c>
      <c r="N372" s="1015">
        <v>2533.981</v>
      </c>
      <c r="O372" s="1021">
        <v>1439726</v>
      </c>
      <c r="P372" s="1016">
        <v>2879452000</v>
      </c>
      <c r="Q372" s="1020">
        <v>726203000</v>
      </c>
      <c r="R372" s="1015">
        <v>1120</v>
      </c>
    </row>
    <row r="373" spans="1:18" ht="15" customHeight="1">
      <c r="A373" s="840">
        <v>6</v>
      </c>
      <c r="B373" s="841" t="s">
        <v>41</v>
      </c>
      <c r="C373" s="792"/>
      <c r="D373" s="858"/>
      <c r="E373" s="775"/>
      <c r="F373" s="775"/>
      <c r="G373" s="775">
        <f>7582000+303000</f>
        <v>7885000</v>
      </c>
      <c r="H373" s="772"/>
      <c r="K373" s="840">
        <v>6</v>
      </c>
      <c r="L373" s="1015" t="s">
        <v>34</v>
      </c>
      <c r="M373" s="1015">
        <v>1</v>
      </c>
      <c r="N373" s="1015">
        <v>31</v>
      </c>
      <c r="O373" s="1016">
        <v>6735</v>
      </c>
      <c r="P373" s="862">
        <v>3704250</v>
      </c>
      <c r="Q373" s="1018">
        <v>229000</v>
      </c>
      <c r="R373" s="1015">
        <v>22</v>
      </c>
    </row>
    <row r="374" spans="1:18" s="954" customFormat="1" ht="15.75">
      <c r="A374" s="840"/>
      <c r="B374" s="847" t="s">
        <v>19</v>
      </c>
      <c r="C374" s="1000">
        <f>SUM(C368:C373)</f>
        <v>55</v>
      </c>
      <c r="D374" s="1000">
        <f>SUM(D368:D373)</f>
        <v>1277.01</v>
      </c>
      <c r="E374" s="1000">
        <f>SUM(E368:E373)</f>
        <v>154350</v>
      </c>
      <c r="F374" s="1000">
        <f>SUM(F368:F373)</f>
        <v>30870000</v>
      </c>
      <c r="G374" s="1001">
        <f>SUM(G368:G373)</f>
        <v>17703000</v>
      </c>
      <c r="H374" s="1000">
        <f>SUM(H368:H371)</f>
        <v>500</v>
      </c>
      <c r="K374" s="840">
        <v>7</v>
      </c>
      <c r="L374" s="1015" t="s">
        <v>31</v>
      </c>
      <c r="M374" s="1015">
        <v>10</v>
      </c>
      <c r="N374" s="1015">
        <v>430.395</v>
      </c>
      <c r="O374" s="1016">
        <v>55944</v>
      </c>
      <c r="P374" s="1022">
        <v>20139840</v>
      </c>
      <c r="Q374" s="1018">
        <v>3021000</v>
      </c>
      <c r="R374" s="1015">
        <v>55</v>
      </c>
    </row>
    <row r="375" spans="1:20" ht="15.75" customHeight="1">
      <c r="A375" s="826"/>
      <c r="B375" s="874"/>
      <c r="C375" s="876"/>
      <c r="D375" s="939"/>
      <c r="E375" s="877"/>
      <c r="F375" s="877"/>
      <c r="G375" s="877"/>
      <c r="H375" s="876"/>
      <c r="K375" s="840">
        <v>8</v>
      </c>
      <c r="L375" s="1015" t="s">
        <v>55</v>
      </c>
      <c r="M375" s="1015">
        <v>1</v>
      </c>
      <c r="N375" s="1015">
        <v>3620</v>
      </c>
      <c r="O375" s="1016">
        <v>304180</v>
      </c>
      <c r="P375" s="1022">
        <v>608360000</v>
      </c>
      <c r="Q375" s="1016">
        <v>123385000</v>
      </c>
      <c r="R375" s="1015">
        <v>1500</v>
      </c>
      <c r="T375" s="1023"/>
    </row>
    <row r="376" spans="1:18" ht="15" customHeight="1">
      <c r="A376" s="826"/>
      <c r="B376" s="827"/>
      <c r="C376" s="807"/>
      <c r="D376" s="828" t="s">
        <v>108</v>
      </c>
      <c r="E376" s="809"/>
      <c r="F376" s="809"/>
      <c r="G376" s="809"/>
      <c r="H376" s="829"/>
      <c r="K376" s="840">
        <v>9</v>
      </c>
      <c r="L376" s="1015" t="s">
        <v>263</v>
      </c>
      <c r="M376" s="1015"/>
      <c r="N376" s="1015"/>
      <c r="O376" s="897">
        <v>2</v>
      </c>
      <c r="P376" s="897">
        <v>108514800</v>
      </c>
      <c r="Q376" s="897">
        <v>6656000</v>
      </c>
      <c r="R376" s="1015"/>
    </row>
    <row r="377" spans="1:18" ht="15" customHeight="1">
      <c r="A377" s="1125" t="s">
        <v>4</v>
      </c>
      <c r="B377" s="830" t="s">
        <v>5</v>
      </c>
      <c r="C377" s="830" t="s">
        <v>6</v>
      </c>
      <c r="D377" s="830" t="s">
        <v>7</v>
      </c>
      <c r="E377" s="830" t="s">
        <v>8</v>
      </c>
      <c r="F377" s="830" t="s">
        <v>9</v>
      </c>
      <c r="G377" s="830" t="s">
        <v>10</v>
      </c>
      <c r="H377" s="830" t="s">
        <v>11</v>
      </c>
      <c r="K377" s="840">
        <v>10</v>
      </c>
      <c r="L377" s="1015" t="s">
        <v>59</v>
      </c>
      <c r="M377" s="1015"/>
      <c r="N377" s="1015"/>
      <c r="O377" s="1016"/>
      <c r="P377" s="1024"/>
      <c r="Q377" s="1016">
        <v>18085000</v>
      </c>
      <c r="R377" s="1015"/>
    </row>
    <row r="378" spans="1:18" s="1014" customFormat="1" ht="15.75">
      <c r="A378" s="1125"/>
      <c r="B378" s="832"/>
      <c r="C378" s="833"/>
      <c r="D378" s="834" t="s">
        <v>12</v>
      </c>
      <c r="E378" s="834" t="s">
        <v>13</v>
      </c>
      <c r="F378" s="835" t="s">
        <v>14</v>
      </c>
      <c r="G378" s="835" t="s">
        <v>14</v>
      </c>
      <c r="H378" s="834" t="s">
        <v>15</v>
      </c>
      <c r="K378" s="840">
        <v>11</v>
      </c>
      <c r="L378" s="1015" t="s">
        <v>72</v>
      </c>
      <c r="M378" s="1015">
        <v>53</v>
      </c>
      <c r="N378" s="1015">
        <v>206</v>
      </c>
      <c r="O378" s="1016">
        <v>120746</v>
      </c>
      <c r="P378" s="1024">
        <v>26564120</v>
      </c>
      <c r="Q378" s="1016">
        <v>4296000</v>
      </c>
      <c r="R378" s="1015">
        <v>300</v>
      </c>
    </row>
    <row r="379" spans="1:18" s="861" customFormat="1" ht="15" customHeight="1">
      <c r="A379" s="840">
        <v>1</v>
      </c>
      <c r="B379" s="1015" t="s">
        <v>55</v>
      </c>
      <c r="C379" s="1015">
        <v>1</v>
      </c>
      <c r="D379" s="1021">
        <v>3620</v>
      </c>
      <c r="E379" s="1016">
        <v>934130</v>
      </c>
      <c r="F379" s="1016">
        <v>1478915000</v>
      </c>
      <c r="G379" s="1016">
        <v>218441000</v>
      </c>
      <c r="H379" s="1015">
        <v>1400</v>
      </c>
      <c r="K379" s="840">
        <v>12</v>
      </c>
      <c r="L379" s="1015" t="s">
        <v>91</v>
      </c>
      <c r="M379" s="1015"/>
      <c r="N379" s="1015"/>
      <c r="O379" s="1025">
        <v>2160</v>
      </c>
      <c r="P379" s="1022"/>
      <c r="Q379" s="1016"/>
      <c r="R379" s="1015"/>
    </row>
    <row r="380" spans="1:18" s="861" customFormat="1" ht="15" customHeight="1">
      <c r="A380" s="840">
        <v>2</v>
      </c>
      <c r="B380" s="1015" t="s">
        <v>91</v>
      </c>
      <c r="C380" s="1015"/>
      <c r="D380" s="1021"/>
      <c r="E380" s="1016">
        <v>23872</v>
      </c>
      <c r="F380" s="1016"/>
      <c r="G380" s="1016"/>
      <c r="H380" s="1015"/>
      <c r="K380" s="1026">
        <v>13</v>
      </c>
      <c r="L380" s="1027" t="s">
        <v>57</v>
      </c>
      <c r="M380" s="1027"/>
      <c r="N380" s="1027"/>
      <c r="O380" s="1025">
        <v>16500</v>
      </c>
      <c r="P380" s="1028"/>
      <c r="Q380" s="1029"/>
      <c r="R380" s="1027"/>
    </row>
    <row r="381" spans="1:18" s="861" customFormat="1" ht="15" customHeight="1">
      <c r="A381" s="840">
        <v>3</v>
      </c>
      <c r="B381" s="1015" t="s">
        <v>57</v>
      </c>
      <c r="C381" s="1015"/>
      <c r="D381" s="1021"/>
      <c r="E381" s="1016">
        <v>50358</v>
      </c>
      <c r="F381" s="1016"/>
      <c r="G381" s="1016"/>
      <c r="H381" s="1015"/>
      <c r="K381" s="925">
        <v>14</v>
      </c>
      <c r="L381" s="984" t="s">
        <v>16</v>
      </c>
      <c r="M381" s="984"/>
      <c r="N381" s="984"/>
      <c r="O381" s="985"/>
      <c r="P381" s="800"/>
      <c r="Q381" s="985"/>
      <c r="R381" s="984"/>
    </row>
    <row r="382" spans="1:18" ht="15">
      <c r="A382" s="840">
        <v>4</v>
      </c>
      <c r="B382" s="1015" t="s">
        <v>59</v>
      </c>
      <c r="C382" s="1015"/>
      <c r="D382" s="1021"/>
      <c r="E382" s="1019">
        <v>27.252</v>
      </c>
      <c r="F382" s="1016"/>
      <c r="G382" s="1016">
        <v>235000</v>
      </c>
      <c r="H382" s="1015"/>
      <c r="K382" s="925">
        <v>15</v>
      </c>
      <c r="L382" s="1006" t="s">
        <v>27</v>
      </c>
      <c r="M382" s="984">
        <v>2</v>
      </c>
      <c r="N382" s="984">
        <v>918.274</v>
      </c>
      <c r="O382" s="985">
        <v>3380</v>
      </c>
      <c r="P382" s="800"/>
      <c r="Q382" s="985">
        <v>144000</v>
      </c>
      <c r="R382" s="984"/>
    </row>
    <row r="383" spans="1:18" s="861" customFormat="1" ht="15" customHeight="1">
      <c r="A383" s="840">
        <v>5</v>
      </c>
      <c r="B383" s="1015" t="s">
        <v>109</v>
      </c>
      <c r="C383" s="1015"/>
      <c r="D383" s="1021"/>
      <c r="E383" s="1021">
        <v>14305.76</v>
      </c>
      <c r="F383" s="1016"/>
      <c r="G383" s="1016">
        <v>3673000</v>
      </c>
      <c r="H383" s="1015"/>
      <c r="K383" s="925">
        <v>16</v>
      </c>
      <c r="L383" s="1009" t="s">
        <v>22</v>
      </c>
      <c r="M383" s="984">
        <v>1</v>
      </c>
      <c r="N383" s="984">
        <v>101.8</v>
      </c>
      <c r="O383" s="985"/>
      <c r="P383" s="800"/>
      <c r="Q383" s="985"/>
      <c r="R383" s="984"/>
    </row>
    <row r="384" spans="1:18" ht="16.5" customHeight="1">
      <c r="A384" s="840">
        <v>6</v>
      </c>
      <c r="B384" s="1015" t="s">
        <v>16</v>
      </c>
      <c r="C384" s="1015">
        <v>4</v>
      </c>
      <c r="D384" s="1021">
        <v>312.4</v>
      </c>
      <c r="E384" s="1016">
        <v>0</v>
      </c>
      <c r="F384" s="1016">
        <v>0</v>
      </c>
      <c r="G384" s="1016">
        <v>0</v>
      </c>
      <c r="H384" s="1015">
        <v>10</v>
      </c>
      <c r="K384" s="1030"/>
      <c r="L384" s="1031" t="s">
        <v>19</v>
      </c>
      <c r="M384" s="1032">
        <f aca="true" t="shared" si="57" ref="M384:R384">SUM(M368:M383)</f>
        <v>122</v>
      </c>
      <c r="N384" s="1032">
        <f>SUM(N368:N383)</f>
        <v>10953.962</v>
      </c>
      <c r="O384" s="1033">
        <f t="shared" si="57"/>
        <v>2298061</v>
      </c>
      <c r="P384" s="1033">
        <f t="shared" si="57"/>
        <v>3812295635</v>
      </c>
      <c r="Q384" s="1033">
        <f t="shared" si="57"/>
        <v>910586000</v>
      </c>
      <c r="R384" s="1032">
        <f t="shared" si="57"/>
        <v>3382</v>
      </c>
    </row>
    <row r="385" spans="1:18" ht="15" customHeight="1">
      <c r="A385" s="840">
        <v>7</v>
      </c>
      <c r="B385" s="1015" t="s">
        <v>34</v>
      </c>
      <c r="C385" s="1015">
        <v>1</v>
      </c>
      <c r="D385" s="1021">
        <v>31</v>
      </c>
      <c r="E385" s="1016">
        <v>3387</v>
      </c>
      <c r="F385" s="1016">
        <f>E385*220</f>
        <v>745140</v>
      </c>
      <c r="G385" s="1016">
        <v>271000</v>
      </c>
      <c r="H385" s="1015">
        <v>22</v>
      </c>
      <c r="K385" s="826"/>
      <c r="L385" s="827"/>
      <c r="M385" s="807"/>
      <c r="N385" s="857"/>
      <c r="O385" s="809"/>
      <c r="P385" s="809"/>
      <c r="Q385" s="809"/>
      <c r="R385" s="829"/>
    </row>
    <row r="386" spans="1:8" ht="15.75">
      <c r="A386" s="840">
        <v>9</v>
      </c>
      <c r="B386" s="1015" t="s">
        <v>39</v>
      </c>
      <c r="C386" s="1015">
        <v>2</v>
      </c>
      <c r="D386" s="1021">
        <v>203.8</v>
      </c>
      <c r="E386" s="1016">
        <v>18668</v>
      </c>
      <c r="F386" s="1016">
        <f>18668*320</f>
        <v>5973760</v>
      </c>
      <c r="G386" s="1016">
        <v>5358000</v>
      </c>
      <c r="H386" s="1015">
        <v>140</v>
      </c>
    </row>
    <row r="387" spans="1:18" ht="30" customHeight="1">
      <c r="A387" s="840">
        <v>10</v>
      </c>
      <c r="B387" s="1015" t="s">
        <v>110</v>
      </c>
      <c r="C387" s="1015">
        <v>5</v>
      </c>
      <c r="D387" s="1021">
        <v>168.2</v>
      </c>
      <c r="E387" s="1016">
        <v>70</v>
      </c>
      <c r="F387" s="1016">
        <f>E387*170</f>
        <v>11900</v>
      </c>
      <c r="G387" s="1016">
        <v>502000</v>
      </c>
      <c r="H387" s="1015">
        <v>45</v>
      </c>
      <c r="K387" s="1126" t="s">
        <v>0</v>
      </c>
      <c r="L387" s="1126"/>
      <c r="M387" s="1126"/>
      <c r="N387" s="1126"/>
      <c r="O387" s="1126"/>
      <c r="P387" s="1126"/>
      <c r="Q387" s="1126"/>
      <c r="R387" s="1126"/>
    </row>
    <row r="388" spans="1:18" ht="23.25" customHeight="1">
      <c r="A388" s="840">
        <v>11</v>
      </c>
      <c r="B388" s="1015" t="s">
        <v>35</v>
      </c>
      <c r="C388" s="1015">
        <v>4</v>
      </c>
      <c r="D388" s="1021">
        <v>196.354</v>
      </c>
      <c r="E388" s="1016">
        <v>618</v>
      </c>
      <c r="F388" s="1016">
        <f>618*890</f>
        <v>550020</v>
      </c>
      <c r="G388" s="1016">
        <v>275000</v>
      </c>
      <c r="H388" s="1015">
        <v>90</v>
      </c>
      <c r="K388" s="1127" t="s">
        <v>113</v>
      </c>
      <c r="L388" s="1127"/>
      <c r="M388" s="1127"/>
      <c r="N388" s="1127"/>
      <c r="O388" s="1127"/>
      <c r="P388" s="1127"/>
      <c r="Q388" s="1127"/>
      <c r="R388" s="1127"/>
    </row>
    <row r="389" spans="1:18" ht="23.25" customHeight="1">
      <c r="A389" s="840"/>
      <c r="B389" s="1015"/>
      <c r="C389" s="1015"/>
      <c r="D389" s="1021"/>
      <c r="E389" s="1016"/>
      <c r="F389" s="1016"/>
      <c r="G389" s="1016"/>
      <c r="H389" s="1015"/>
      <c r="K389" s="1128" t="s">
        <v>388</v>
      </c>
      <c r="L389" s="1128"/>
      <c r="M389" s="1128"/>
      <c r="N389" s="1128"/>
      <c r="O389" s="1128"/>
      <c r="P389" s="1128"/>
      <c r="Q389" s="1128"/>
      <c r="R389" s="1128"/>
    </row>
    <row r="390" spans="1:18" ht="18.75" customHeight="1">
      <c r="A390" s="840">
        <v>12</v>
      </c>
      <c r="B390" s="1015" t="s">
        <v>72</v>
      </c>
      <c r="C390" s="1015">
        <v>37</v>
      </c>
      <c r="D390" s="1021">
        <v>165</v>
      </c>
      <c r="E390" s="1016">
        <v>9012</v>
      </c>
      <c r="F390" s="1016">
        <f>9012*640</f>
        <v>5767680</v>
      </c>
      <c r="G390" s="1016">
        <v>231000</v>
      </c>
      <c r="H390" s="1015">
        <v>188</v>
      </c>
      <c r="K390" s="791"/>
      <c r="L390" s="791"/>
      <c r="M390" s="791"/>
      <c r="N390" s="791"/>
      <c r="O390" s="791"/>
      <c r="P390" s="791"/>
      <c r="Q390" s="791"/>
      <c r="R390" s="791"/>
    </row>
    <row r="391" spans="1:18" s="861" customFormat="1" ht="12.75" customHeight="1">
      <c r="A391" s="840">
        <v>13</v>
      </c>
      <c r="B391" s="1015" t="s">
        <v>111</v>
      </c>
      <c r="C391" s="1015">
        <v>6</v>
      </c>
      <c r="D391" s="1021">
        <v>2533.981</v>
      </c>
      <c r="E391" s="1016">
        <v>1323359</v>
      </c>
      <c r="F391" s="1016">
        <f>E391*1400</f>
        <v>1852702600</v>
      </c>
      <c r="G391" s="1016">
        <v>581422000</v>
      </c>
      <c r="H391" s="1015">
        <v>1150</v>
      </c>
      <c r="K391" s="1124" t="s">
        <v>4</v>
      </c>
      <c r="L391" s="1123" t="s">
        <v>114</v>
      </c>
      <c r="M391" s="1038" t="s">
        <v>6</v>
      </c>
      <c r="N391" s="1039" t="s">
        <v>7</v>
      </c>
      <c r="O391" s="1040" t="s">
        <v>8</v>
      </c>
      <c r="P391" s="1040" t="s">
        <v>9</v>
      </c>
      <c r="Q391" s="1041" t="s">
        <v>10</v>
      </c>
      <c r="R391" s="1038" t="s">
        <v>11</v>
      </c>
    </row>
    <row r="392" spans="1:18" s="861" customFormat="1" ht="12.75">
      <c r="A392" s="840"/>
      <c r="B392" s="1015"/>
      <c r="C392" s="1015"/>
      <c r="D392" s="1021"/>
      <c r="E392" s="1016"/>
      <c r="F392" s="1016"/>
      <c r="G392" s="1016"/>
      <c r="H392" s="1015"/>
      <c r="K392" s="1124"/>
      <c r="L392" s="1123"/>
      <c r="M392" s="1042" t="s">
        <v>115</v>
      </c>
      <c r="N392" s="1043" t="s">
        <v>12</v>
      </c>
      <c r="O392" s="1044" t="s">
        <v>13</v>
      </c>
      <c r="P392" s="1045" t="s">
        <v>391</v>
      </c>
      <c r="Q392" s="1045" t="s">
        <v>391</v>
      </c>
      <c r="R392" s="1046" t="s">
        <v>15</v>
      </c>
    </row>
    <row r="393" spans="1:18" s="861" customFormat="1" ht="22.5" customHeight="1">
      <c r="A393" s="840"/>
      <c r="B393" s="1015"/>
      <c r="C393" s="1015"/>
      <c r="D393" s="1021"/>
      <c r="E393" s="1016"/>
      <c r="F393" s="1016"/>
      <c r="G393" s="1016"/>
      <c r="H393" s="1015"/>
      <c r="K393" s="840">
        <v>1</v>
      </c>
      <c r="L393" s="1015" t="s">
        <v>3</v>
      </c>
      <c r="M393" s="832">
        <f aca="true" t="shared" si="58" ref="M393:R393">M11</f>
        <v>441</v>
      </c>
      <c r="N393" s="1047">
        <f t="shared" si="58"/>
        <v>2177.3703</v>
      </c>
      <c r="O393" s="965">
        <f t="shared" si="58"/>
        <v>112596</v>
      </c>
      <c r="P393" s="965">
        <f t="shared" si="58"/>
        <v>33778800</v>
      </c>
      <c r="Q393" s="832">
        <f t="shared" si="58"/>
        <v>33084000</v>
      </c>
      <c r="R393" s="832">
        <f t="shared" si="58"/>
        <v>3087</v>
      </c>
    </row>
    <row r="394" spans="1:18" s="862" customFormat="1" ht="22.5" customHeight="1">
      <c r="A394" s="840">
        <v>14</v>
      </c>
      <c r="B394" s="1015" t="s">
        <v>25</v>
      </c>
      <c r="C394" s="1015">
        <v>37</v>
      </c>
      <c r="D394" s="1021">
        <v>2611.958</v>
      </c>
      <c r="E394" s="1016">
        <v>58533</v>
      </c>
      <c r="F394" s="1016">
        <f>E394*600</f>
        <v>35119800</v>
      </c>
      <c r="G394" s="1016">
        <v>7024000</v>
      </c>
      <c r="H394" s="1015">
        <v>160</v>
      </c>
      <c r="K394" s="840">
        <v>2</v>
      </c>
      <c r="L394" s="1015" t="s">
        <v>20</v>
      </c>
      <c r="M394" s="832">
        <f aca="true" t="shared" si="59" ref="M394:R394">M30</f>
        <v>562</v>
      </c>
      <c r="N394" s="1047">
        <f t="shared" si="59"/>
        <v>4653.1320000000005</v>
      </c>
      <c r="O394" s="965">
        <f t="shared" si="59"/>
        <v>2048882</v>
      </c>
      <c r="P394" s="965">
        <f t="shared" si="59"/>
        <v>456745332</v>
      </c>
      <c r="Q394" s="832">
        <f t="shared" si="59"/>
        <v>162167423</v>
      </c>
      <c r="R394" s="832">
        <f t="shared" si="59"/>
        <v>4449</v>
      </c>
    </row>
    <row r="395" spans="1:18" s="954" customFormat="1" ht="22.5" customHeight="1">
      <c r="A395" s="840"/>
      <c r="B395" s="847" t="s">
        <v>19</v>
      </c>
      <c r="C395" s="1048">
        <f aca="true" t="shared" si="60" ref="C395:H395">SUM(C379:C394)</f>
        <v>97</v>
      </c>
      <c r="D395" s="1048">
        <f t="shared" si="60"/>
        <v>9842.693000000001</v>
      </c>
      <c r="E395" s="990">
        <f>SUM(E379:E394)-14305.76+14.30576</f>
        <v>2422048.55776</v>
      </c>
      <c r="F395" s="990">
        <f>SUM(F379:F394)</f>
        <v>3379785900</v>
      </c>
      <c r="G395" s="990">
        <f t="shared" si="60"/>
        <v>817432000</v>
      </c>
      <c r="H395" s="1048">
        <f t="shared" si="60"/>
        <v>3205</v>
      </c>
      <c r="K395" s="840">
        <v>3</v>
      </c>
      <c r="L395" s="1015" t="s">
        <v>32</v>
      </c>
      <c r="M395" s="832">
        <f aca="true" t="shared" si="61" ref="M395:R395">M44</f>
        <v>7</v>
      </c>
      <c r="N395" s="1047">
        <f t="shared" si="61"/>
        <v>110.14410000000001</v>
      </c>
      <c r="O395" s="965">
        <f t="shared" si="61"/>
        <v>11293</v>
      </c>
      <c r="P395" s="965">
        <f t="shared" si="61"/>
        <v>3086250</v>
      </c>
      <c r="Q395" s="832">
        <f t="shared" si="61"/>
        <v>380024</v>
      </c>
      <c r="R395" s="832">
        <f t="shared" si="61"/>
        <v>6</v>
      </c>
    </row>
    <row r="396" spans="1:18" ht="22.5" customHeight="1">
      <c r="A396" s="840"/>
      <c r="B396" s="1049"/>
      <c r="C396" s="955"/>
      <c r="D396" s="956"/>
      <c r="E396" s="957"/>
      <c r="F396" s="957"/>
      <c r="G396" s="957"/>
      <c r="H396" s="958"/>
      <c r="K396" s="840">
        <v>4</v>
      </c>
      <c r="L396" s="1015" t="s">
        <v>37</v>
      </c>
      <c r="M396" s="832">
        <f aca="true" t="shared" si="62" ref="M396:R396">M55</f>
        <v>4</v>
      </c>
      <c r="N396" s="1047">
        <f t="shared" si="62"/>
        <v>219.42749999999998</v>
      </c>
      <c r="O396" s="965">
        <f t="shared" si="62"/>
        <v>1280876</v>
      </c>
      <c r="P396" s="965">
        <f t="shared" si="62"/>
        <v>153873890</v>
      </c>
      <c r="Q396" s="832">
        <f t="shared" si="62"/>
        <v>83788000</v>
      </c>
      <c r="R396" s="832">
        <f t="shared" si="62"/>
        <v>1120</v>
      </c>
    </row>
    <row r="397" spans="1:18" ht="22.5" customHeight="1">
      <c r="A397" s="791"/>
      <c r="B397" s="847" t="s">
        <v>112</v>
      </c>
      <c r="C397" s="1050">
        <f aca="true" t="shared" si="63" ref="C397:H397">+C55+C67+C142+C151+C179+C301+C227+C264+C315+C363+C374+C11+C30+C44+C75+C95+C104+C114+C123+C135+C166+C188+C196+C205+C213+C234+C243+C272+C287+C293+C333+C345+C356+C395</f>
        <v>2319</v>
      </c>
      <c r="D397" s="1051">
        <f t="shared" si="63"/>
        <v>84793.4411</v>
      </c>
      <c r="E397" s="1052">
        <f t="shared" si="63"/>
        <v>59859141.812120005</v>
      </c>
      <c r="F397" s="1052">
        <f t="shared" si="63"/>
        <v>23144262234.528</v>
      </c>
      <c r="G397" s="1052">
        <f t="shared" si="63"/>
        <v>6698643799</v>
      </c>
      <c r="H397" s="1050">
        <f t="shared" si="63"/>
        <v>37707</v>
      </c>
      <c r="K397" s="840">
        <v>5</v>
      </c>
      <c r="L397" s="1015" t="s">
        <v>42</v>
      </c>
      <c r="M397" s="832">
        <f aca="true" t="shared" si="64" ref="M397:R397">M67</f>
        <v>16</v>
      </c>
      <c r="N397" s="1047">
        <f t="shared" si="64"/>
        <v>8245.3925</v>
      </c>
      <c r="O397" s="965">
        <f t="shared" si="64"/>
        <v>4772623</v>
      </c>
      <c r="P397" s="965">
        <f t="shared" si="64"/>
        <v>3212212032</v>
      </c>
      <c r="Q397" s="832">
        <f t="shared" si="64"/>
        <v>348894006</v>
      </c>
      <c r="R397" s="832">
        <f t="shared" si="64"/>
        <v>534</v>
      </c>
    </row>
    <row r="398" spans="11:18" ht="22.5" customHeight="1">
      <c r="K398" s="840">
        <v>6</v>
      </c>
      <c r="L398" s="1015" t="s">
        <v>49</v>
      </c>
      <c r="M398" s="832">
        <f aca="true" t="shared" si="65" ref="M398:R398">M75</f>
        <v>17</v>
      </c>
      <c r="N398" s="1047">
        <f t="shared" si="65"/>
        <v>412.6961</v>
      </c>
      <c r="O398" s="965">
        <f t="shared" si="65"/>
        <v>110403.37</v>
      </c>
      <c r="P398" s="965">
        <f t="shared" si="65"/>
        <v>4993985</v>
      </c>
      <c r="Q398" s="832">
        <f t="shared" si="65"/>
        <v>3631612</v>
      </c>
      <c r="R398" s="832">
        <f t="shared" si="65"/>
        <v>28</v>
      </c>
    </row>
    <row r="399" spans="1:18" ht="22.5" customHeight="1">
      <c r="A399" s="1131" t="s">
        <v>0</v>
      </c>
      <c r="B399" s="1131"/>
      <c r="C399" s="1131"/>
      <c r="D399" s="1131"/>
      <c r="E399" s="1131"/>
      <c r="F399" s="1131"/>
      <c r="G399" s="1131"/>
      <c r="H399" s="1131"/>
      <c r="K399" s="840">
        <v>7</v>
      </c>
      <c r="L399" s="1015" t="s">
        <v>54</v>
      </c>
      <c r="M399" s="832">
        <f aca="true" t="shared" si="66" ref="M399:R399">M95</f>
        <v>657</v>
      </c>
      <c r="N399" s="1047">
        <f t="shared" si="66"/>
        <v>9820.8732</v>
      </c>
      <c r="O399" s="965">
        <f t="shared" si="66"/>
        <v>9262019</v>
      </c>
      <c r="P399" s="965">
        <f t="shared" si="66"/>
        <v>21262802890</v>
      </c>
      <c r="Q399" s="832">
        <f t="shared" si="66"/>
        <v>7466900318</v>
      </c>
      <c r="R399" s="832">
        <f t="shared" si="66"/>
        <v>7002</v>
      </c>
    </row>
    <row r="400" spans="1:18" ht="22.5" customHeight="1">
      <c r="A400" s="1132" t="s">
        <v>113</v>
      </c>
      <c r="B400" s="1132"/>
      <c r="C400" s="1132"/>
      <c r="D400" s="1132"/>
      <c r="E400" s="1132"/>
      <c r="F400" s="1132"/>
      <c r="G400" s="1132"/>
      <c r="H400" s="1132"/>
      <c r="K400" s="840">
        <v>8</v>
      </c>
      <c r="L400" s="1015" t="s">
        <v>63</v>
      </c>
      <c r="M400" s="832">
        <f aca="true" t="shared" si="67" ref="M400:R400">M104</f>
        <v>11</v>
      </c>
      <c r="N400" s="1047">
        <f t="shared" si="67"/>
        <v>219.9325</v>
      </c>
      <c r="O400" s="965">
        <f t="shared" si="67"/>
        <v>57222</v>
      </c>
      <c r="P400" s="965">
        <f t="shared" si="67"/>
        <v>15987800</v>
      </c>
      <c r="Q400" s="965">
        <f t="shared" si="67"/>
        <v>5037000</v>
      </c>
      <c r="R400" s="832">
        <f t="shared" si="67"/>
        <v>25</v>
      </c>
    </row>
    <row r="401" spans="1:18" s="1053" customFormat="1" ht="22.5" customHeight="1">
      <c r="A401" s="1129" t="s">
        <v>116</v>
      </c>
      <c r="B401" s="1129"/>
      <c r="C401" s="1129"/>
      <c r="D401" s="1129"/>
      <c r="E401" s="1129"/>
      <c r="F401" s="1129"/>
      <c r="G401" s="1129"/>
      <c r="H401" s="1129"/>
      <c r="K401" s="840">
        <v>9</v>
      </c>
      <c r="L401" s="1015" t="s">
        <v>65</v>
      </c>
      <c r="M401" s="832">
        <f aca="true" t="shared" si="68" ref="M401:R401">M113</f>
        <v>113</v>
      </c>
      <c r="N401" s="1047">
        <f t="shared" si="68"/>
        <v>14227.14</v>
      </c>
      <c r="O401" s="965">
        <f t="shared" si="68"/>
        <v>6225234</v>
      </c>
      <c r="P401" s="965">
        <f t="shared" si="68"/>
        <v>5520035000</v>
      </c>
      <c r="Q401" s="832">
        <f t="shared" si="68"/>
        <v>470185419</v>
      </c>
      <c r="R401" s="832">
        <f t="shared" si="68"/>
        <v>1253</v>
      </c>
    </row>
    <row r="402" spans="1:18" ht="22.5" customHeight="1">
      <c r="A402" s="1125" t="s">
        <v>4</v>
      </c>
      <c r="B402" s="1130" t="s">
        <v>114</v>
      </c>
      <c r="C402" s="1054" t="s">
        <v>6</v>
      </c>
      <c r="D402" s="1055" t="s">
        <v>7</v>
      </c>
      <c r="E402" s="1056" t="s">
        <v>8</v>
      </c>
      <c r="F402" s="1056" t="s">
        <v>9</v>
      </c>
      <c r="G402" s="1057" t="s">
        <v>10</v>
      </c>
      <c r="H402" s="1054" t="s">
        <v>11</v>
      </c>
      <c r="K402" s="840">
        <v>10</v>
      </c>
      <c r="L402" s="1015" t="s">
        <v>67</v>
      </c>
      <c r="M402" s="832">
        <f aca="true" t="shared" si="69" ref="M402:R402">M122</f>
        <v>3</v>
      </c>
      <c r="N402" s="1047">
        <f t="shared" si="69"/>
        <v>190.5</v>
      </c>
      <c r="O402" s="965">
        <f t="shared" si="69"/>
        <v>129388</v>
      </c>
      <c r="P402" s="965">
        <f t="shared" si="69"/>
        <v>91668400</v>
      </c>
      <c r="Q402" s="832">
        <f t="shared" si="69"/>
        <v>9625490</v>
      </c>
      <c r="R402" s="832">
        <f t="shared" si="69"/>
        <v>156</v>
      </c>
    </row>
    <row r="403" spans="1:18" s="1063" customFormat="1" ht="22.5" customHeight="1">
      <c r="A403" s="1125"/>
      <c r="B403" s="1130"/>
      <c r="C403" s="1058" t="s">
        <v>115</v>
      </c>
      <c r="D403" s="1059" t="s">
        <v>12</v>
      </c>
      <c r="E403" s="1060" t="s">
        <v>13</v>
      </c>
      <c r="F403" s="1061" t="s">
        <v>14</v>
      </c>
      <c r="G403" s="1061" t="s">
        <v>14</v>
      </c>
      <c r="H403" s="1062" t="s">
        <v>15</v>
      </c>
      <c r="K403" s="840">
        <v>11</v>
      </c>
      <c r="L403" s="1015" t="s">
        <v>68</v>
      </c>
      <c r="M403" s="832">
        <f aca="true" t="shared" si="70" ref="M403:R403">M134</f>
        <v>48</v>
      </c>
      <c r="N403" s="1047">
        <f t="shared" si="70"/>
        <v>2040.9076</v>
      </c>
      <c r="O403" s="965">
        <f t="shared" si="70"/>
        <v>7687102</v>
      </c>
      <c r="P403" s="965">
        <f t="shared" si="70"/>
        <v>1770290779</v>
      </c>
      <c r="Q403" s="832">
        <f t="shared" si="70"/>
        <v>423975828</v>
      </c>
      <c r="R403" s="832">
        <f t="shared" si="70"/>
        <v>533</v>
      </c>
    </row>
    <row r="404" spans="1:18" ht="22.5" customHeight="1">
      <c r="A404" s="840">
        <v>1</v>
      </c>
      <c r="B404" s="1015" t="s">
        <v>3</v>
      </c>
      <c r="C404" s="1024">
        <f aca="true" t="shared" si="71" ref="C404:H404">C11</f>
        <v>315</v>
      </c>
      <c r="D404" s="1064">
        <f t="shared" si="71"/>
        <v>1063.326</v>
      </c>
      <c r="E404" s="1022">
        <f t="shared" si="71"/>
        <v>154423</v>
      </c>
      <c r="F404" s="1022">
        <f t="shared" si="71"/>
        <v>23163450</v>
      </c>
      <c r="G404" s="1024">
        <f t="shared" si="71"/>
        <v>11218328</v>
      </c>
      <c r="H404" s="1024">
        <f t="shared" si="71"/>
        <v>2198</v>
      </c>
      <c r="K404" s="840">
        <v>12</v>
      </c>
      <c r="L404" s="1015" t="s">
        <v>69</v>
      </c>
      <c r="M404" s="832">
        <f aca="true" t="shared" si="72" ref="M404:R404">M141</f>
        <v>33</v>
      </c>
      <c r="N404" s="1047">
        <f t="shared" si="72"/>
        <v>682.85</v>
      </c>
      <c r="O404" s="965">
        <f t="shared" si="72"/>
        <v>7398.81</v>
      </c>
      <c r="P404" s="965">
        <f t="shared" si="72"/>
        <v>403742</v>
      </c>
      <c r="Q404" s="832">
        <f t="shared" si="72"/>
        <v>2131492</v>
      </c>
      <c r="R404" s="832">
        <f t="shared" si="72"/>
        <v>250</v>
      </c>
    </row>
    <row r="405" spans="1:18" ht="22.5" customHeight="1">
      <c r="A405" s="840">
        <v>2</v>
      </c>
      <c r="B405" s="1015" t="s">
        <v>20</v>
      </c>
      <c r="C405" s="1024">
        <f aca="true" t="shared" si="73" ref="C405:H405">C30</f>
        <v>397</v>
      </c>
      <c r="D405" s="1064">
        <f t="shared" si="73"/>
        <v>4582.76</v>
      </c>
      <c r="E405" s="1022">
        <f t="shared" si="73"/>
        <v>1567330.4</v>
      </c>
      <c r="F405" s="1022">
        <f t="shared" si="73"/>
        <v>270013238</v>
      </c>
      <c r="G405" s="1024">
        <f t="shared" si="73"/>
        <v>85773629</v>
      </c>
      <c r="H405" s="1024">
        <f t="shared" si="73"/>
        <v>2913</v>
      </c>
      <c r="K405" s="840">
        <v>13</v>
      </c>
      <c r="L405" s="1015" t="s">
        <v>71</v>
      </c>
      <c r="M405" s="832">
        <f aca="true" t="shared" si="74" ref="M405:R405">M150</f>
        <v>75</v>
      </c>
      <c r="N405" s="1047">
        <f t="shared" si="74"/>
        <v>1614.9099999999999</v>
      </c>
      <c r="O405" s="965">
        <f t="shared" si="74"/>
        <v>1203508</v>
      </c>
      <c r="P405" s="965">
        <f t="shared" si="74"/>
        <v>360138774</v>
      </c>
      <c r="Q405" s="832">
        <f t="shared" si="74"/>
        <v>67361135</v>
      </c>
      <c r="R405" s="832">
        <f t="shared" si="74"/>
        <v>485</v>
      </c>
    </row>
    <row r="406" spans="1:18" ht="22.5" customHeight="1">
      <c r="A406" s="840">
        <v>3</v>
      </c>
      <c r="B406" s="1015" t="s">
        <v>32</v>
      </c>
      <c r="C406" s="1024">
        <f aca="true" t="shared" si="75" ref="C406:H406">C44</f>
        <v>7</v>
      </c>
      <c r="D406" s="1064">
        <f t="shared" si="75"/>
        <v>111.10300000000001</v>
      </c>
      <c r="E406" s="1022">
        <f t="shared" si="75"/>
        <v>7557.1849999999995</v>
      </c>
      <c r="F406" s="1022">
        <f t="shared" si="75"/>
        <v>1228100</v>
      </c>
      <c r="G406" s="1024">
        <f t="shared" si="75"/>
        <v>253274</v>
      </c>
      <c r="H406" s="1024">
        <f t="shared" si="75"/>
        <v>23</v>
      </c>
      <c r="K406" s="840">
        <v>14</v>
      </c>
      <c r="L406" s="1015" t="s">
        <v>73</v>
      </c>
      <c r="M406" s="832">
        <f aca="true" t="shared" si="76" ref="M406:R406">M165</f>
        <v>61</v>
      </c>
      <c r="N406" s="1047">
        <f t="shared" si="76"/>
        <v>1315.0510000000002</v>
      </c>
      <c r="O406" s="965">
        <f t="shared" si="76"/>
        <v>59293</v>
      </c>
      <c r="P406" s="965">
        <f t="shared" si="76"/>
        <v>10816650</v>
      </c>
      <c r="Q406" s="832">
        <f t="shared" si="76"/>
        <v>3888000</v>
      </c>
      <c r="R406" s="832">
        <f t="shared" si="76"/>
        <v>368</v>
      </c>
    </row>
    <row r="407" spans="1:18" ht="22.5" customHeight="1">
      <c r="A407" s="840">
        <v>4</v>
      </c>
      <c r="B407" s="1015" t="s">
        <v>37</v>
      </c>
      <c r="C407" s="1024">
        <f aca="true" t="shared" si="77" ref="C407:H407">C55</f>
        <v>5</v>
      </c>
      <c r="D407" s="1064">
        <f t="shared" si="77"/>
        <v>296.22749999999996</v>
      </c>
      <c r="E407" s="1022">
        <f t="shared" si="77"/>
        <v>20238</v>
      </c>
      <c r="F407" s="1022">
        <f t="shared" si="77"/>
        <v>1256600</v>
      </c>
      <c r="G407" s="1024">
        <f t="shared" si="77"/>
        <v>5486000</v>
      </c>
      <c r="H407" s="1024">
        <f t="shared" si="77"/>
        <v>70</v>
      </c>
      <c r="K407" s="840">
        <v>15</v>
      </c>
      <c r="L407" s="1015" t="s">
        <v>75</v>
      </c>
      <c r="M407" s="832">
        <f aca="true" t="shared" si="78" ref="M407:R407">M178</f>
        <v>17</v>
      </c>
      <c r="N407" s="1047">
        <f t="shared" si="78"/>
        <v>3049.4500000000003</v>
      </c>
      <c r="O407" s="965">
        <f t="shared" si="78"/>
        <v>2822807</v>
      </c>
      <c r="P407" s="965">
        <f t="shared" si="78"/>
        <v>1573625133</v>
      </c>
      <c r="Q407" s="832">
        <f t="shared" si="78"/>
        <v>202555000</v>
      </c>
      <c r="R407" s="832">
        <f t="shared" si="78"/>
        <v>485</v>
      </c>
    </row>
    <row r="408" spans="1:18" ht="22.5" customHeight="1">
      <c r="A408" s="840">
        <v>5</v>
      </c>
      <c r="B408" s="1015" t="s">
        <v>42</v>
      </c>
      <c r="C408" s="1024">
        <f aca="true" t="shared" si="79" ref="C408:H408">C67</f>
        <v>14</v>
      </c>
      <c r="D408" s="1064">
        <f t="shared" si="79"/>
        <v>3509.3789999999995</v>
      </c>
      <c r="E408" s="1022">
        <f t="shared" si="79"/>
        <v>1001519.0700000001</v>
      </c>
      <c r="F408" s="1022">
        <f t="shared" si="79"/>
        <v>159798610</v>
      </c>
      <c r="G408" s="1024">
        <f t="shared" si="79"/>
        <v>89243889</v>
      </c>
      <c r="H408" s="1024">
        <f t="shared" si="79"/>
        <v>3902</v>
      </c>
      <c r="K408" s="840">
        <v>16</v>
      </c>
      <c r="L408" s="1015" t="s">
        <v>79</v>
      </c>
      <c r="M408" s="832">
        <f aca="true" t="shared" si="80" ref="M408:R408">M187</f>
        <v>6</v>
      </c>
      <c r="N408" s="1047">
        <f t="shared" si="80"/>
        <v>1277.6</v>
      </c>
      <c r="O408" s="965">
        <f t="shared" si="80"/>
        <v>850</v>
      </c>
      <c r="P408" s="965">
        <f t="shared" si="80"/>
        <v>8921500</v>
      </c>
      <c r="Q408" s="832">
        <f t="shared" si="80"/>
        <v>31000</v>
      </c>
      <c r="R408" s="832">
        <f t="shared" si="80"/>
        <v>121</v>
      </c>
    </row>
    <row r="409" spans="1:18" ht="22.5" customHeight="1">
      <c r="A409" s="840">
        <v>6</v>
      </c>
      <c r="B409" s="1015" t="s">
        <v>49</v>
      </c>
      <c r="C409" s="1024">
        <f aca="true" t="shared" si="81" ref="C409:H409">C75</f>
        <v>22</v>
      </c>
      <c r="D409" s="1064">
        <f t="shared" si="81"/>
        <v>651.0461</v>
      </c>
      <c r="E409" s="1022">
        <f t="shared" si="81"/>
        <v>181210.05</v>
      </c>
      <c r="F409" s="1022">
        <f t="shared" si="81"/>
        <v>3713708</v>
      </c>
      <c r="G409" s="1024">
        <f t="shared" si="81"/>
        <v>3708107</v>
      </c>
      <c r="H409" s="1024">
        <f t="shared" si="81"/>
        <v>756</v>
      </c>
      <c r="K409" s="840">
        <v>17</v>
      </c>
      <c r="L409" s="1015" t="s">
        <v>81</v>
      </c>
      <c r="M409" s="832">
        <f aca="true" t="shared" si="82" ref="M409:R409">M194</f>
        <v>9</v>
      </c>
      <c r="N409" s="1047">
        <f t="shared" si="82"/>
        <v>431.92</v>
      </c>
      <c r="O409" s="965">
        <f t="shared" si="82"/>
        <v>0</v>
      </c>
      <c r="P409" s="965">
        <f t="shared" si="82"/>
        <v>0</v>
      </c>
      <c r="Q409" s="832">
        <f t="shared" si="82"/>
        <v>16000</v>
      </c>
      <c r="R409" s="832">
        <f t="shared" si="82"/>
        <v>0</v>
      </c>
    </row>
    <row r="410" spans="1:18" ht="22.5" customHeight="1">
      <c r="A410" s="840">
        <v>7</v>
      </c>
      <c r="B410" s="1015" t="s">
        <v>54</v>
      </c>
      <c r="C410" s="1024">
        <f aca="true" t="shared" si="83" ref="C410:H410">C95</f>
        <v>452</v>
      </c>
      <c r="D410" s="1064">
        <f t="shared" si="83"/>
        <v>4252.157</v>
      </c>
      <c r="E410" s="1022">
        <f t="shared" si="83"/>
        <v>6468739.6793599995</v>
      </c>
      <c r="F410" s="1022">
        <f t="shared" si="83"/>
        <v>9799817719.727999</v>
      </c>
      <c r="G410" s="1024">
        <f t="shared" si="83"/>
        <v>3016231045</v>
      </c>
      <c r="H410" s="1024">
        <f t="shared" si="83"/>
        <v>2607</v>
      </c>
      <c r="K410" s="840">
        <v>18</v>
      </c>
      <c r="L410" s="1015" t="s">
        <v>82</v>
      </c>
      <c r="M410" s="832">
        <f aca="true" t="shared" si="84" ref="M410:R410">M203</f>
        <v>54</v>
      </c>
      <c r="N410" s="1047">
        <f t="shared" si="84"/>
        <v>1598.915</v>
      </c>
      <c r="O410" s="965">
        <f t="shared" si="84"/>
        <v>448427</v>
      </c>
      <c r="P410" s="965">
        <f t="shared" si="84"/>
        <v>159426950</v>
      </c>
      <c r="Q410" s="832">
        <f t="shared" si="84"/>
        <v>11601000</v>
      </c>
      <c r="R410" s="832">
        <f t="shared" si="84"/>
        <v>930</v>
      </c>
    </row>
    <row r="411" spans="1:18" ht="22.5" customHeight="1">
      <c r="A411" s="840">
        <v>8</v>
      </c>
      <c r="B411" s="1015" t="s">
        <v>63</v>
      </c>
      <c r="C411" s="1024">
        <f aca="true" t="shared" si="85" ref="C411:H411">C104</f>
        <v>8</v>
      </c>
      <c r="D411" s="1064">
        <f t="shared" si="85"/>
        <v>206.38</v>
      </c>
      <c r="E411" s="1022">
        <f t="shared" si="85"/>
        <v>9281</v>
      </c>
      <c r="F411" s="1022">
        <f t="shared" si="85"/>
        <v>928100</v>
      </c>
      <c r="G411" s="1022">
        <f t="shared" si="85"/>
        <v>475761</v>
      </c>
      <c r="H411" s="1024">
        <f t="shared" si="85"/>
        <v>20</v>
      </c>
      <c r="K411" s="840">
        <v>19</v>
      </c>
      <c r="L411" s="1015" t="s">
        <v>83</v>
      </c>
      <c r="M411" s="832">
        <f aca="true" t="shared" si="86" ref="M411:R411">M210</f>
        <v>1</v>
      </c>
      <c r="N411" s="1047">
        <f t="shared" si="86"/>
        <v>1516.8</v>
      </c>
      <c r="O411" s="965">
        <f t="shared" si="86"/>
        <v>919180</v>
      </c>
      <c r="P411" s="965">
        <f t="shared" si="86"/>
        <v>156260770</v>
      </c>
      <c r="Q411" s="832">
        <f t="shared" si="86"/>
        <v>57908394</v>
      </c>
      <c r="R411" s="832">
        <f t="shared" si="86"/>
        <v>73</v>
      </c>
    </row>
    <row r="412" spans="1:18" ht="22.5" customHeight="1">
      <c r="A412" s="840">
        <v>9</v>
      </c>
      <c r="B412" s="1015" t="s">
        <v>65</v>
      </c>
      <c r="C412" s="1024">
        <f aca="true" t="shared" si="87" ref="C412:H412">C114</f>
        <v>89</v>
      </c>
      <c r="D412" s="1064">
        <f t="shared" si="87"/>
        <v>12306.316</v>
      </c>
      <c r="E412" s="1022">
        <f t="shared" si="87"/>
        <v>3408817</v>
      </c>
      <c r="F412" s="1022">
        <f t="shared" si="87"/>
        <v>1509680100</v>
      </c>
      <c r="G412" s="1024">
        <f t="shared" si="87"/>
        <v>189052192</v>
      </c>
      <c r="H412" s="1024">
        <f t="shared" si="87"/>
        <v>1350</v>
      </c>
      <c r="K412" s="840">
        <v>20</v>
      </c>
      <c r="L412" s="1015" t="s">
        <v>84</v>
      </c>
      <c r="M412" s="832">
        <f aca="true" t="shared" si="88" ref="M412:R412">M224</f>
        <v>62</v>
      </c>
      <c r="N412" s="1047">
        <f t="shared" si="88"/>
        <v>3195.66</v>
      </c>
      <c r="O412" s="965">
        <f t="shared" si="88"/>
        <v>4615781.23</v>
      </c>
      <c r="P412" s="965">
        <f t="shared" si="88"/>
        <v>1634806251</v>
      </c>
      <c r="Q412" s="965">
        <f>Q224</f>
        <v>289055000</v>
      </c>
      <c r="R412" s="832">
        <f t="shared" si="88"/>
        <v>5515</v>
      </c>
    </row>
    <row r="413" spans="1:18" ht="22.5" customHeight="1">
      <c r="A413" s="840">
        <v>10</v>
      </c>
      <c r="B413" s="1015" t="s">
        <v>67</v>
      </c>
      <c r="C413" s="1024">
        <f aca="true" t="shared" si="89" ref="C413:H413">C123</f>
        <v>3</v>
      </c>
      <c r="D413" s="1064">
        <f t="shared" si="89"/>
        <v>324.5</v>
      </c>
      <c r="E413" s="1022">
        <f t="shared" si="89"/>
        <v>81155</v>
      </c>
      <c r="F413" s="1022">
        <f t="shared" si="89"/>
        <v>31688600</v>
      </c>
      <c r="G413" s="1024">
        <f t="shared" si="89"/>
        <v>2288435</v>
      </c>
      <c r="H413" s="1024">
        <f t="shared" si="89"/>
        <v>138</v>
      </c>
      <c r="K413" s="840">
        <v>21</v>
      </c>
      <c r="L413" s="1015" t="s">
        <v>117</v>
      </c>
      <c r="M413" s="832">
        <f aca="true" t="shared" si="90" ref="M413:R413">M230</f>
        <v>3</v>
      </c>
      <c r="N413" s="1047">
        <f t="shared" si="90"/>
        <v>14.36</v>
      </c>
      <c r="O413" s="965">
        <f t="shared" si="90"/>
        <v>0</v>
      </c>
      <c r="P413" s="965">
        <f t="shared" si="90"/>
        <v>0</v>
      </c>
      <c r="Q413" s="832">
        <f t="shared" si="90"/>
        <v>15000</v>
      </c>
      <c r="R413" s="832">
        <f t="shared" si="90"/>
        <v>0</v>
      </c>
    </row>
    <row r="414" spans="1:18" ht="22.5" customHeight="1">
      <c r="A414" s="840">
        <v>11</v>
      </c>
      <c r="B414" s="1015" t="s">
        <v>68</v>
      </c>
      <c r="C414" s="1024">
        <f aca="true" t="shared" si="91" ref="C414:H414">C135</f>
        <v>37</v>
      </c>
      <c r="D414" s="1064">
        <f t="shared" si="91"/>
        <v>1910.2555</v>
      </c>
      <c r="E414" s="1022">
        <f t="shared" si="91"/>
        <v>6989456</v>
      </c>
      <c r="F414" s="1022">
        <f t="shared" si="91"/>
        <v>866583520</v>
      </c>
      <c r="G414" s="1024">
        <f t="shared" si="91"/>
        <v>325693690</v>
      </c>
      <c r="H414" s="1024">
        <f t="shared" si="91"/>
        <v>510</v>
      </c>
      <c r="K414" s="840">
        <v>22</v>
      </c>
      <c r="L414" s="1015" t="s">
        <v>86</v>
      </c>
      <c r="M414" s="832">
        <f aca="true" t="shared" si="92" ref="M414:R414">M240</f>
        <v>24</v>
      </c>
      <c r="N414" s="1047">
        <f t="shared" si="92"/>
        <v>3482.3017999999997</v>
      </c>
      <c r="O414" s="965">
        <f t="shared" si="92"/>
        <v>876189.52</v>
      </c>
      <c r="P414" s="965">
        <f t="shared" si="92"/>
        <v>272774358</v>
      </c>
      <c r="Q414" s="832">
        <f t="shared" si="92"/>
        <v>75615000</v>
      </c>
      <c r="R414" s="832">
        <f t="shared" si="92"/>
        <v>295</v>
      </c>
    </row>
    <row r="415" spans="1:18" ht="22.5" customHeight="1">
      <c r="A415" s="840">
        <v>12</v>
      </c>
      <c r="B415" s="1015" t="s">
        <v>69</v>
      </c>
      <c r="C415" s="1024">
        <f aca="true" t="shared" si="93" ref="C415:H415">C142</f>
        <v>42</v>
      </c>
      <c r="D415" s="1064">
        <f t="shared" si="93"/>
        <v>2127.76</v>
      </c>
      <c r="E415" s="1022">
        <f t="shared" si="93"/>
        <v>58420.44</v>
      </c>
      <c r="F415" s="1022">
        <f t="shared" si="93"/>
        <v>14605110</v>
      </c>
      <c r="G415" s="1024">
        <f t="shared" si="93"/>
        <v>9483667</v>
      </c>
      <c r="H415" s="1024">
        <f t="shared" si="93"/>
        <v>800</v>
      </c>
      <c r="K415" s="840">
        <v>23</v>
      </c>
      <c r="L415" s="1015" t="s">
        <v>88</v>
      </c>
      <c r="M415" s="832">
        <f aca="true" t="shared" si="94" ref="M415:R415">M250</f>
        <v>39</v>
      </c>
      <c r="N415" s="1047">
        <f t="shared" si="94"/>
        <v>3793.3959999999997</v>
      </c>
      <c r="O415" s="965">
        <f t="shared" si="94"/>
        <v>6380255</v>
      </c>
      <c r="P415" s="965">
        <f t="shared" si="94"/>
        <v>945875560</v>
      </c>
      <c r="Q415" s="832">
        <f t="shared" si="94"/>
        <v>413841177</v>
      </c>
      <c r="R415" s="832">
        <f t="shared" si="94"/>
        <v>395</v>
      </c>
    </row>
    <row r="416" spans="1:18" ht="22.5" customHeight="1">
      <c r="A416" s="840"/>
      <c r="B416" s="1015"/>
      <c r="C416" s="1024"/>
      <c r="D416" s="1064"/>
      <c r="E416" s="1022"/>
      <c r="F416" s="1022"/>
      <c r="G416" s="1024"/>
      <c r="H416" s="1024"/>
      <c r="K416" s="840">
        <v>24</v>
      </c>
      <c r="L416" s="1015" t="s">
        <v>264</v>
      </c>
      <c r="M416" s="965">
        <f aca="true" t="shared" si="95" ref="M416:R416">M259</f>
        <v>52</v>
      </c>
      <c r="N416" s="965">
        <f t="shared" si="95"/>
        <v>1812.37</v>
      </c>
      <c r="O416" s="965">
        <f t="shared" si="95"/>
        <v>826522</v>
      </c>
      <c r="P416" s="965">
        <f t="shared" si="95"/>
        <v>277586330</v>
      </c>
      <c r="Q416" s="965">
        <f t="shared" si="95"/>
        <v>50141000</v>
      </c>
      <c r="R416" s="965">
        <f t="shared" si="95"/>
        <v>3839</v>
      </c>
    </row>
    <row r="417" spans="1:18" ht="22.5" customHeight="1">
      <c r="A417" s="840">
        <v>13</v>
      </c>
      <c r="B417" s="1015" t="s">
        <v>71</v>
      </c>
      <c r="C417" s="1024">
        <f aca="true" t="shared" si="96" ref="C417:H417">C151</f>
        <v>54</v>
      </c>
      <c r="D417" s="1064">
        <f t="shared" si="96"/>
        <v>1464.0099999999998</v>
      </c>
      <c r="E417" s="1022">
        <f t="shared" si="96"/>
        <v>775891.68</v>
      </c>
      <c r="F417" s="1022">
        <f t="shared" si="96"/>
        <v>220189767.8</v>
      </c>
      <c r="G417" s="1024">
        <f t="shared" si="96"/>
        <v>29659576</v>
      </c>
      <c r="H417" s="1024">
        <f t="shared" si="96"/>
        <v>435</v>
      </c>
      <c r="K417" s="840">
        <v>25</v>
      </c>
      <c r="L417" s="1015" t="s">
        <v>89</v>
      </c>
      <c r="M417" s="832">
        <f aca="true" t="shared" si="97" ref="M417:R417">M268</f>
        <v>98</v>
      </c>
      <c r="N417" s="1047">
        <f t="shared" si="97"/>
        <v>458.93697000000003</v>
      </c>
      <c r="O417" s="965">
        <f t="shared" si="97"/>
        <v>21298</v>
      </c>
      <c r="P417" s="965">
        <f t="shared" si="97"/>
        <v>6857956</v>
      </c>
      <c r="Q417" s="832">
        <f t="shared" si="97"/>
        <v>7043000</v>
      </c>
      <c r="R417" s="832">
        <f t="shared" si="97"/>
        <v>494</v>
      </c>
    </row>
    <row r="418" spans="1:18" ht="22.5" customHeight="1">
      <c r="A418" s="840">
        <v>14</v>
      </c>
      <c r="B418" s="1015" t="s">
        <v>73</v>
      </c>
      <c r="C418" s="1024">
        <f aca="true" t="shared" si="98" ref="C418:H418">C166</f>
        <v>54</v>
      </c>
      <c r="D418" s="1064">
        <f t="shared" si="98"/>
        <v>1805.8802</v>
      </c>
      <c r="E418" s="1022">
        <f t="shared" si="98"/>
        <v>68228</v>
      </c>
      <c r="F418" s="1022">
        <f t="shared" si="98"/>
        <v>11517970</v>
      </c>
      <c r="G418" s="1024">
        <f t="shared" si="98"/>
        <v>5854000</v>
      </c>
      <c r="H418" s="1024">
        <f t="shared" si="98"/>
        <v>208</v>
      </c>
      <c r="K418" s="840">
        <v>26</v>
      </c>
      <c r="L418" s="1015" t="s">
        <v>90</v>
      </c>
      <c r="M418" s="832">
        <f aca="true" t="shared" si="99" ref="M418:R418">M283</f>
        <v>188</v>
      </c>
      <c r="N418" s="1047">
        <f t="shared" si="99"/>
        <v>4788.353</v>
      </c>
      <c r="O418" s="965">
        <f t="shared" si="99"/>
        <v>3221486</v>
      </c>
      <c r="P418" s="965">
        <f t="shared" si="99"/>
        <v>13065172770</v>
      </c>
      <c r="Q418" s="832">
        <f t="shared" si="99"/>
        <v>1979142000</v>
      </c>
      <c r="R418" s="832">
        <f t="shared" si="99"/>
        <v>3952</v>
      </c>
    </row>
    <row r="419" spans="1:18" ht="22.5" customHeight="1">
      <c r="A419" s="840">
        <v>15</v>
      </c>
      <c r="B419" s="1015" t="s">
        <v>75</v>
      </c>
      <c r="C419" s="1024">
        <f aca="true" t="shared" si="100" ref="C419:H419">C179</f>
        <v>17</v>
      </c>
      <c r="D419" s="1064">
        <f t="shared" si="100"/>
        <v>3665.64</v>
      </c>
      <c r="E419" s="1022">
        <f t="shared" si="100"/>
        <v>3061563</v>
      </c>
      <c r="F419" s="1022">
        <f t="shared" si="100"/>
        <v>1354642313</v>
      </c>
      <c r="G419" s="1024">
        <f t="shared" si="100"/>
        <v>232366600</v>
      </c>
      <c r="H419" s="1024">
        <f t="shared" si="100"/>
        <v>282</v>
      </c>
      <c r="K419" s="840">
        <v>27</v>
      </c>
      <c r="L419" s="1015" t="s">
        <v>93</v>
      </c>
      <c r="M419" s="832">
        <f aca="true" t="shared" si="101" ref="M419:R419">M289</f>
        <v>1</v>
      </c>
      <c r="N419" s="1047">
        <f t="shared" si="101"/>
        <v>895.42</v>
      </c>
      <c r="O419" s="965">
        <f t="shared" si="101"/>
        <v>2260827</v>
      </c>
      <c r="P419" s="965">
        <f t="shared" si="101"/>
        <v>413731341</v>
      </c>
      <c r="Q419" s="832">
        <f t="shared" si="101"/>
        <v>139549000</v>
      </c>
      <c r="R419" s="832">
        <f t="shared" si="101"/>
        <v>63</v>
      </c>
    </row>
    <row r="420" spans="1:18" ht="22.5" customHeight="1">
      <c r="A420" s="840">
        <v>16</v>
      </c>
      <c r="B420" s="1015" t="s">
        <v>79</v>
      </c>
      <c r="C420" s="1024">
        <f aca="true" t="shared" si="102" ref="C420:H420">C188</f>
        <v>6</v>
      </c>
      <c r="D420" s="1064">
        <f t="shared" si="102"/>
        <v>1277.6</v>
      </c>
      <c r="E420" s="1022">
        <f t="shared" si="102"/>
        <v>77592</v>
      </c>
      <c r="F420" s="1022">
        <f t="shared" si="102"/>
        <v>20571600</v>
      </c>
      <c r="G420" s="1024">
        <f t="shared" si="102"/>
        <v>2991500</v>
      </c>
      <c r="H420" s="1024">
        <f t="shared" si="102"/>
        <v>94</v>
      </c>
      <c r="K420" s="840">
        <v>28</v>
      </c>
      <c r="L420" s="1015" t="s">
        <v>94</v>
      </c>
      <c r="M420" s="832">
        <f aca="true" t="shared" si="103" ref="M420:R420">M295</f>
        <v>39</v>
      </c>
      <c r="N420" s="1047">
        <f t="shared" si="103"/>
        <v>743.03</v>
      </c>
      <c r="O420" s="965">
        <f t="shared" si="103"/>
        <v>79938</v>
      </c>
      <c r="P420" s="965">
        <f t="shared" si="103"/>
        <v>20783750</v>
      </c>
      <c r="Q420" s="832">
        <f t="shared" si="103"/>
        <v>4796250</v>
      </c>
      <c r="R420" s="832">
        <f t="shared" si="103"/>
        <v>180</v>
      </c>
    </row>
    <row r="421" spans="1:18" ht="22.5" customHeight="1">
      <c r="A421" s="840">
        <v>17</v>
      </c>
      <c r="B421" s="1015" t="s">
        <v>81</v>
      </c>
      <c r="C421" s="1024">
        <f aca="true" t="shared" si="104" ref="C421:H421">C196</f>
        <v>9</v>
      </c>
      <c r="D421" s="1064">
        <f t="shared" si="104"/>
        <v>431.92</v>
      </c>
      <c r="E421" s="1022">
        <f t="shared" si="104"/>
        <v>0</v>
      </c>
      <c r="F421" s="1022">
        <f t="shared" si="104"/>
        <v>0</v>
      </c>
      <c r="G421" s="1024">
        <f t="shared" si="104"/>
        <v>6000</v>
      </c>
      <c r="H421" s="1024">
        <f t="shared" si="104"/>
        <v>0</v>
      </c>
      <c r="K421" s="840">
        <v>29</v>
      </c>
      <c r="L421" s="1015" t="s">
        <v>95</v>
      </c>
      <c r="M421" s="832">
        <f aca="true" t="shared" si="105" ref="M421:R421">M303</f>
        <v>14</v>
      </c>
      <c r="N421" s="1047">
        <f t="shared" si="105"/>
        <v>854.677</v>
      </c>
      <c r="O421" s="965">
        <f t="shared" si="105"/>
        <v>77166</v>
      </c>
      <c r="P421" s="965">
        <f t="shared" si="105"/>
        <v>64200600</v>
      </c>
      <c r="Q421" s="832">
        <f t="shared" si="105"/>
        <v>7589000</v>
      </c>
      <c r="R421" s="832">
        <f t="shared" si="105"/>
        <v>262</v>
      </c>
    </row>
    <row r="422" spans="1:18" ht="22.5" customHeight="1">
      <c r="A422" s="840">
        <v>18</v>
      </c>
      <c r="B422" s="1015" t="s">
        <v>82</v>
      </c>
      <c r="C422" s="1024">
        <f aca="true" t="shared" si="106" ref="C422:H422">C205</f>
        <v>52</v>
      </c>
      <c r="D422" s="1064">
        <f t="shared" si="106"/>
        <v>1768.7295</v>
      </c>
      <c r="E422" s="1022">
        <f t="shared" si="106"/>
        <v>279612</v>
      </c>
      <c r="F422" s="1022">
        <f t="shared" si="106"/>
        <v>66050188</v>
      </c>
      <c r="G422" s="1024">
        <f t="shared" si="106"/>
        <v>6082000</v>
      </c>
      <c r="H422" s="1024">
        <f t="shared" si="106"/>
        <v>740</v>
      </c>
      <c r="K422" s="840">
        <v>30</v>
      </c>
      <c r="L422" s="1015" t="s">
        <v>97</v>
      </c>
      <c r="M422" s="832">
        <f aca="true" t="shared" si="107" ref="M422:R422">M325</f>
        <v>166</v>
      </c>
      <c r="N422" s="1047">
        <f t="shared" si="107"/>
        <v>4250.0721</v>
      </c>
      <c r="O422" s="965">
        <f t="shared" si="107"/>
        <v>1754526</v>
      </c>
      <c r="P422" s="965">
        <f t="shared" si="107"/>
        <v>2229206400</v>
      </c>
      <c r="Q422" s="832">
        <f t="shared" si="107"/>
        <v>190357000</v>
      </c>
      <c r="R422" s="832">
        <f t="shared" si="107"/>
        <v>2069</v>
      </c>
    </row>
    <row r="423" spans="1:18" ht="22.5" customHeight="1">
      <c r="A423" s="840">
        <v>19</v>
      </c>
      <c r="B423" s="1015" t="s">
        <v>83</v>
      </c>
      <c r="C423" s="1024">
        <f aca="true" t="shared" si="108" ref="C423:H423">C213</f>
        <v>1</v>
      </c>
      <c r="D423" s="1064">
        <f t="shared" si="108"/>
        <v>3980</v>
      </c>
      <c r="E423" s="1022">
        <f t="shared" si="108"/>
        <v>778889</v>
      </c>
      <c r="F423" s="1022">
        <f t="shared" si="108"/>
        <v>132411130</v>
      </c>
      <c r="G423" s="1024">
        <f t="shared" si="108"/>
        <v>34448856</v>
      </c>
      <c r="H423" s="1024">
        <f t="shared" si="108"/>
        <v>72</v>
      </c>
      <c r="K423" s="840">
        <v>31</v>
      </c>
      <c r="L423" s="1015" t="s">
        <v>102</v>
      </c>
      <c r="M423" s="832">
        <f aca="true" t="shared" si="109" ref="M423:R423">M335</f>
        <v>24</v>
      </c>
      <c r="N423" s="1047">
        <f t="shared" si="109"/>
        <v>1581.37</v>
      </c>
      <c r="O423" s="965">
        <f t="shared" si="109"/>
        <v>12703536</v>
      </c>
      <c r="P423" s="965">
        <f t="shared" si="109"/>
        <v>1512509880</v>
      </c>
      <c r="Q423" s="832">
        <f t="shared" si="109"/>
        <v>845794000</v>
      </c>
      <c r="R423" s="832">
        <f t="shared" si="109"/>
        <v>1765</v>
      </c>
    </row>
    <row r="424" spans="1:18" ht="22.5" customHeight="1">
      <c r="A424" s="840">
        <v>20</v>
      </c>
      <c r="B424" s="1015" t="s">
        <v>84</v>
      </c>
      <c r="C424" s="1024">
        <f aca="true" t="shared" si="110" ref="C424:H424">C227</f>
        <v>52</v>
      </c>
      <c r="D424" s="1064">
        <f t="shared" si="110"/>
        <v>1012.8254999999999</v>
      </c>
      <c r="E424" s="1022">
        <f t="shared" si="110"/>
        <v>229095.8</v>
      </c>
      <c r="F424" s="1022">
        <f t="shared" si="110"/>
        <v>83995962.5</v>
      </c>
      <c r="G424" s="1024">
        <f t="shared" si="110"/>
        <v>13262000</v>
      </c>
      <c r="H424" s="1024">
        <f t="shared" si="110"/>
        <v>6851</v>
      </c>
      <c r="K424" s="840">
        <v>32</v>
      </c>
      <c r="L424" s="1015" t="s">
        <v>104</v>
      </c>
      <c r="M424" s="832">
        <f aca="true" t="shared" si="111" ref="M424:R424">M347</f>
        <v>59</v>
      </c>
      <c r="N424" s="1047">
        <f t="shared" si="111"/>
        <v>2512.0079</v>
      </c>
      <c r="O424" s="965">
        <f t="shared" si="111"/>
        <v>12527532</v>
      </c>
      <c r="P424" s="965">
        <f t="shared" si="111"/>
        <v>3182287500</v>
      </c>
      <c r="Q424" s="832">
        <f t="shared" si="111"/>
        <v>851704000</v>
      </c>
      <c r="R424" s="832">
        <f t="shared" si="111"/>
        <v>518</v>
      </c>
    </row>
    <row r="425" spans="1:18" ht="22.5" customHeight="1">
      <c r="A425" s="840">
        <v>21</v>
      </c>
      <c r="B425" s="1015" t="s">
        <v>117</v>
      </c>
      <c r="C425" s="1024">
        <f aca="true" t="shared" si="112" ref="C425:H425">C234</f>
        <v>3</v>
      </c>
      <c r="D425" s="1064">
        <f t="shared" si="112"/>
        <v>14.36</v>
      </c>
      <c r="E425" s="1022">
        <f t="shared" si="112"/>
        <v>0</v>
      </c>
      <c r="F425" s="1022">
        <f t="shared" si="112"/>
        <v>0</v>
      </c>
      <c r="G425" s="1024">
        <f t="shared" si="112"/>
        <v>5000</v>
      </c>
      <c r="H425" s="1024">
        <f t="shared" si="112"/>
        <v>9</v>
      </c>
      <c r="K425" s="1026">
        <v>33</v>
      </c>
      <c r="L425" s="1027" t="s">
        <v>118</v>
      </c>
      <c r="M425" s="832">
        <f aca="true" t="shared" si="113" ref="M425:R425">M310</f>
        <v>19</v>
      </c>
      <c r="N425" s="1047">
        <f t="shared" si="113"/>
        <v>4761.17</v>
      </c>
      <c r="O425" s="965">
        <f t="shared" si="113"/>
        <v>376959</v>
      </c>
      <c r="P425" s="965">
        <f t="shared" si="113"/>
        <v>179055525</v>
      </c>
      <c r="Q425" s="832">
        <f t="shared" si="113"/>
        <v>33444000</v>
      </c>
      <c r="R425" s="832">
        <f t="shared" si="113"/>
        <v>190</v>
      </c>
    </row>
    <row r="426" spans="1:18" ht="22.5" customHeight="1">
      <c r="A426" s="840">
        <v>22</v>
      </c>
      <c r="B426" s="1015" t="s">
        <v>86</v>
      </c>
      <c r="C426" s="1024">
        <f aca="true" t="shared" si="114" ref="C426:H426">C243</f>
        <v>15</v>
      </c>
      <c r="D426" s="1064">
        <f t="shared" si="114"/>
        <v>3445.489</v>
      </c>
      <c r="E426" s="1022">
        <f t="shared" si="114"/>
        <v>360250</v>
      </c>
      <c r="F426" s="1022">
        <f t="shared" si="114"/>
        <v>63578825</v>
      </c>
      <c r="G426" s="1024">
        <f t="shared" si="114"/>
        <v>27062000</v>
      </c>
      <c r="H426" s="1024">
        <f t="shared" si="114"/>
        <v>90</v>
      </c>
      <c r="K426" s="925">
        <v>34</v>
      </c>
      <c r="L426" s="984" t="s">
        <v>105</v>
      </c>
      <c r="M426" s="1065">
        <f aca="true" t="shared" si="115" ref="M426:R426">M363</f>
        <v>61</v>
      </c>
      <c r="N426" s="1047">
        <f t="shared" si="115"/>
        <v>808.7833999999999</v>
      </c>
      <c r="O426" s="965">
        <f t="shared" si="115"/>
        <v>157775</v>
      </c>
      <c r="P426" s="965">
        <f t="shared" si="115"/>
        <v>30905000</v>
      </c>
      <c r="Q426" s="832">
        <f t="shared" si="115"/>
        <v>6520000</v>
      </c>
      <c r="R426" s="832">
        <f t="shared" si="115"/>
        <v>202</v>
      </c>
    </row>
    <row r="427" spans="1:18" ht="22.5" customHeight="1">
      <c r="A427" s="840">
        <v>23</v>
      </c>
      <c r="B427" s="1015" t="s">
        <v>88</v>
      </c>
      <c r="C427" s="1024">
        <f aca="true" t="shared" si="116" ref="C427:H427">C264</f>
        <v>42</v>
      </c>
      <c r="D427" s="1064">
        <f t="shared" si="116"/>
        <v>3197.543</v>
      </c>
      <c r="E427" s="1022">
        <f t="shared" si="116"/>
        <v>4492764</v>
      </c>
      <c r="F427" s="1022">
        <f t="shared" si="116"/>
        <v>17250000</v>
      </c>
      <c r="G427" s="1024">
        <f t="shared" si="116"/>
        <v>201453727</v>
      </c>
      <c r="H427" s="1024">
        <f t="shared" si="116"/>
        <v>340</v>
      </c>
      <c r="K427" s="800">
        <v>35</v>
      </c>
      <c r="L427" s="984" t="s">
        <v>108</v>
      </c>
      <c r="M427" s="1065">
        <f aca="true" t="shared" si="117" ref="M427:R427">M384</f>
        <v>122</v>
      </c>
      <c r="N427" s="1047">
        <f t="shared" si="117"/>
        <v>10953.962</v>
      </c>
      <c r="O427" s="965">
        <f t="shared" si="117"/>
        <v>2298061</v>
      </c>
      <c r="P427" s="965">
        <f t="shared" si="117"/>
        <v>3812295635</v>
      </c>
      <c r="Q427" s="832">
        <f t="shared" si="117"/>
        <v>910586000</v>
      </c>
      <c r="R427" s="832">
        <f t="shared" si="117"/>
        <v>3382</v>
      </c>
    </row>
    <row r="428" spans="1:18" ht="21" customHeight="1">
      <c r="A428" s="840">
        <v>24</v>
      </c>
      <c r="B428" s="1015" t="s">
        <v>89</v>
      </c>
      <c r="C428" s="1024">
        <f aca="true" t="shared" si="118" ref="C428:H428">C272</f>
        <v>50</v>
      </c>
      <c r="D428" s="1064">
        <f t="shared" si="118"/>
        <v>241.3785</v>
      </c>
      <c r="E428" s="1022">
        <f t="shared" si="118"/>
        <v>123153</v>
      </c>
      <c r="F428" s="1022">
        <f t="shared" si="118"/>
        <v>61576500</v>
      </c>
      <c r="G428" s="1024">
        <f t="shared" si="118"/>
        <v>2723150</v>
      </c>
      <c r="H428" s="1024">
        <f t="shared" si="118"/>
        <v>390</v>
      </c>
      <c r="K428" s="1030"/>
      <c r="L428" s="1066" t="s">
        <v>19</v>
      </c>
      <c r="M428" s="1067">
        <f aca="true" t="shared" si="119" ref="M428:R428">SUM(M393:M427)</f>
        <v>3106</v>
      </c>
      <c r="N428" s="1068">
        <f t="shared" si="119"/>
        <v>98710.88196999999</v>
      </c>
      <c r="O428" s="1069">
        <f t="shared" si="119"/>
        <v>85336953.93</v>
      </c>
      <c r="P428" s="1069">
        <f t="shared" si="119"/>
        <v>62443117533</v>
      </c>
      <c r="Q428" s="1070">
        <f t="shared" si="119"/>
        <v>15158352568</v>
      </c>
      <c r="R428" s="1071">
        <f t="shared" si="119"/>
        <v>44026</v>
      </c>
    </row>
    <row r="429" spans="1:8" ht="18" customHeight="1">
      <c r="A429" s="840">
        <v>25</v>
      </c>
      <c r="B429" s="1015" t="s">
        <v>90</v>
      </c>
      <c r="C429" s="1024">
        <f aca="true" t="shared" si="120" ref="C429:H429">C287</f>
        <v>133</v>
      </c>
      <c r="D429" s="1064">
        <f t="shared" si="120"/>
        <v>3423.2315</v>
      </c>
      <c r="E429" s="1022">
        <f t="shared" si="120"/>
        <v>1044408</v>
      </c>
      <c r="F429" s="1022">
        <f t="shared" si="120"/>
        <v>1169490064</v>
      </c>
      <c r="G429" s="1024">
        <f t="shared" si="120"/>
        <v>302920000</v>
      </c>
      <c r="H429" s="1024">
        <f t="shared" si="120"/>
        <v>2464</v>
      </c>
    </row>
    <row r="431" spans="14:18" ht="15.75">
      <c r="N431" s="1035"/>
      <c r="O431" s="1035"/>
      <c r="P431" s="1035"/>
      <c r="Q431" s="1035"/>
      <c r="R431" s="1035"/>
    </row>
    <row r="434" spans="14:18" ht="15.75">
      <c r="N434" s="1035"/>
      <c r="O434" s="1035"/>
      <c r="P434" s="1035"/>
      <c r="Q434" s="1035"/>
      <c r="R434" s="1035"/>
    </row>
  </sheetData>
  <sheetProtection password="86A8" sheet="1" selectLockedCells="1" selectUnlockedCells="1"/>
  <mergeCells count="90">
    <mergeCell ref="A6:A7"/>
    <mergeCell ref="K6:K7"/>
    <mergeCell ref="A3:H3"/>
    <mergeCell ref="A1:H1"/>
    <mergeCell ref="K1:R1"/>
    <mergeCell ref="A2:H2"/>
    <mergeCell ref="K2:R2"/>
    <mergeCell ref="K3:R3"/>
    <mergeCell ref="N35:N36"/>
    <mergeCell ref="A47:A48"/>
    <mergeCell ref="K47:K48"/>
    <mergeCell ref="A14:A15"/>
    <mergeCell ref="K14:K15"/>
    <mergeCell ref="A33:A34"/>
    <mergeCell ref="K33:K34"/>
    <mergeCell ref="A58:A59"/>
    <mergeCell ref="K58:K59"/>
    <mergeCell ref="M35:M36"/>
    <mergeCell ref="A98:A99"/>
    <mergeCell ref="K98:K99"/>
    <mergeCell ref="A70:A71"/>
    <mergeCell ref="K70:K71"/>
    <mergeCell ref="A78:A79"/>
    <mergeCell ref="K78:K79"/>
    <mergeCell ref="A118:A119"/>
    <mergeCell ref="K125:K126"/>
    <mergeCell ref="A126:A127"/>
    <mergeCell ref="A107:A108"/>
    <mergeCell ref="K107:K108"/>
    <mergeCell ref="C128:C129"/>
    <mergeCell ref="D128:D129"/>
    <mergeCell ref="H128:H130"/>
    <mergeCell ref="K117:K118"/>
    <mergeCell ref="K137:K138"/>
    <mergeCell ref="A138:A139"/>
    <mergeCell ref="K144:K145"/>
    <mergeCell ref="A145:A146"/>
    <mergeCell ref="K153:K154"/>
    <mergeCell ref="A154:A155"/>
    <mergeCell ref="K181:K182"/>
    <mergeCell ref="A182:A183"/>
    <mergeCell ref="K190:K191"/>
    <mergeCell ref="A191:A192"/>
    <mergeCell ref="K169:K170"/>
    <mergeCell ref="A170:A171"/>
    <mergeCell ref="K213:K214"/>
    <mergeCell ref="A216:A217"/>
    <mergeCell ref="K227:K228"/>
    <mergeCell ref="A230:A232"/>
    <mergeCell ref="K197:K198"/>
    <mergeCell ref="A199:A200"/>
    <mergeCell ref="K206:K207"/>
    <mergeCell ref="A209:A210"/>
    <mergeCell ref="K292:K293"/>
    <mergeCell ref="A297:A298"/>
    <mergeCell ref="K298:K299"/>
    <mergeCell ref="K234:K235"/>
    <mergeCell ref="A237:A238"/>
    <mergeCell ref="K243:K244"/>
    <mergeCell ref="A246:A247"/>
    <mergeCell ref="K253:K254"/>
    <mergeCell ref="A275:A276"/>
    <mergeCell ref="A402:A403"/>
    <mergeCell ref="B402:B403"/>
    <mergeCell ref="K391:K392"/>
    <mergeCell ref="K357:K358"/>
    <mergeCell ref="A359:A360"/>
    <mergeCell ref="A366:A367"/>
    <mergeCell ref="K366:K367"/>
    <mergeCell ref="A399:H399"/>
    <mergeCell ref="A400:H400"/>
    <mergeCell ref="A377:A378"/>
    <mergeCell ref="A401:H401"/>
    <mergeCell ref="A336:A337"/>
    <mergeCell ref="K338:K339"/>
    <mergeCell ref="A348:A349"/>
    <mergeCell ref="A304:A309"/>
    <mergeCell ref="K306:K307"/>
    <mergeCell ref="K312:K313"/>
    <mergeCell ref="A318:A319"/>
    <mergeCell ref="L391:L392"/>
    <mergeCell ref="K263:K264"/>
    <mergeCell ref="A266:A267"/>
    <mergeCell ref="K271:K272"/>
    <mergeCell ref="K387:R387"/>
    <mergeCell ref="K388:R388"/>
    <mergeCell ref="K389:R389"/>
    <mergeCell ref="K328:K329"/>
    <mergeCell ref="K286:K287"/>
    <mergeCell ref="A290:A291"/>
  </mergeCells>
  <printOptions/>
  <pageMargins left="0.4722222222222222" right="0.2361111111111111" top="0.43333333333333335" bottom="0.4326388888888889" header="0.27569444444444446" footer="0.19652777777777777"/>
  <pageSetup horizontalDpi="300" verticalDpi="300" orientation="portrait" paperSize="9" scale="82" r:id="rId1"/>
  <headerFooter alignWithMargins="0">
    <oddHeader>&amp;C&amp;F(Provisional)</oddHeader>
    <oddFooter>&amp;L&amp;Z&amp;F&amp;R&amp;P of &amp;N</oddFooter>
  </headerFooter>
  <rowBreaks count="7" manualBreakCount="7">
    <brk id="56" max="255" man="1"/>
    <brk id="113" max="17" man="1"/>
    <brk id="166" max="255" man="1"/>
    <brk id="225" max="17" man="1"/>
    <brk id="283" max="17" man="1"/>
    <brk id="336" max="17" man="1"/>
    <brk id="386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67"/>
  <sheetViews>
    <sheetView zoomScaleSheetLayoutView="100" zoomScalePageLayoutView="0" workbookViewId="0" topLeftCell="J1">
      <selection activeCell="S75" sqref="S75"/>
    </sheetView>
  </sheetViews>
  <sheetFormatPr defaultColWidth="9.140625" defaultRowHeight="15"/>
  <cols>
    <col min="1" max="1" width="0" style="92" hidden="1" customWidth="1"/>
    <col min="2" max="2" width="0" style="2" hidden="1" customWidth="1"/>
    <col min="3" max="3" width="0" style="3" hidden="1" customWidth="1"/>
    <col min="4" max="5" width="0" style="93" hidden="1" customWidth="1"/>
    <col min="6" max="7" width="0" style="5" hidden="1" customWidth="1"/>
    <col min="8" max="8" width="0" style="94" hidden="1" customWidth="1"/>
    <col min="9" max="9" width="0" style="0" hidden="1" customWidth="1"/>
    <col min="10" max="10" width="5.421875" style="92" customWidth="1"/>
    <col min="11" max="11" width="21.28125" style="2" customWidth="1"/>
    <col min="12" max="12" width="8.28125" style="3" customWidth="1"/>
    <col min="13" max="13" width="12.421875" style="93" customWidth="1"/>
    <col min="14" max="14" width="17.28125" style="93" customWidth="1"/>
    <col min="15" max="16" width="15.140625" style="5" customWidth="1"/>
    <col min="17" max="17" width="13.421875" style="94" customWidth="1"/>
    <col min="18" max="18" width="16.140625" style="7" customWidth="1"/>
    <col min="19" max="19" width="9.140625" style="7" customWidth="1"/>
    <col min="20" max="20" width="11.140625" style="7" customWidth="1"/>
    <col min="21" max="16384" width="9.140625" style="7" customWidth="1"/>
  </cols>
  <sheetData>
    <row r="1" spans="1:17" ht="27.75">
      <c r="A1" s="1151" t="s">
        <v>119</v>
      </c>
      <c r="B1" s="1151"/>
      <c r="C1" s="1151"/>
      <c r="D1" s="1151"/>
      <c r="E1" s="1151"/>
      <c r="F1" s="1151"/>
      <c r="G1" s="1151"/>
      <c r="H1" s="1151"/>
      <c r="J1" s="1151" t="s">
        <v>119</v>
      </c>
      <c r="K1" s="1151"/>
      <c r="L1" s="1151"/>
      <c r="M1" s="1151"/>
      <c r="N1" s="1151"/>
      <c r="O1" s="1151"/>
      <c r="P1" s="1151"/>
      <c r="Q1" s="1151"/>
    </row>
    <row r="2" spans="1:17" ht="21">
      <c r="A2" s="1152" t="s">
        <v>120</v>
      </c>
      <c r="B2" s="1152"/>
      <c r="C2" s="1152"/>
      <c r="D2" s="1152"/>
      <c r="E2" s="1152"/>
      <c r="F2" s="1152"/>
      <c r="G2" s="1152"/>
      <c r="H2" s="1152"/>
      <c r="J2" s="1152" t="s">
        <v>120</v>
      </c>
      <c r="K2" s="1152"/>
      <c r="L2" s="1152"/>
      <c r="M2" s="1152"/>
      <c r="N2" s="1152"/>
      <c r="O2" s="1152"/>
      <c r="P2" s="1152"/>
      <c r="Q2" s="1152"/>
    </row>
    <row r="3" spans="1:17" ht="24.75" customHeight="1">
      <c r="A3" s="1152" t="s">
        <v>2</v>
      </c>
      <c r="B3" s="1152"/>
      <c r="C3" s="1152"/>
      <c r="D3" s="1152"/>
      <c r="E3" s="1152"/>
      <c r="F3" s="1152"/>
      <c r="G3" s="1152"/>
      <c r="H3" s="1152"/>
      <c r="J3" s="1152" t="s">
        <v>379</v>
      </c>
      <c r="K3" s="1152"/>
      <c r="L3" s="1152"/>
      <c r="M3" s="1152"/>
      <c r="N3" s="1152"/>
      <c r="O3" s="1152"/>
      <c r="P3" s="1152"/>
      <c r="Q3" s="1152"/>
    </row>
    <row r="4" spans="1:17" ht="16.5" customHeight="1">
      <c r="A4" s="9"/>
      <c r="B4" s="9"/>
      <c r="C4" s="9"/>
      <c r="D4" s="9"/>
      <c r="E4" s="9"/>
      <c r="F4" s="9"/>
      <c r="G4" s="9"/>
      <c r="H4" s="9"/>
      <c r="J4" s="9"/>
      <c r="K4" s="9"/>
      <c r="L4" s="9"/>
      <c r="M4" s="9"/>
      <c r="N4" s="9"/>
      <c r="O4" s="9"/>
      <c r="P4" s="9"/>
      <c r="Q4" s="9"/>
    </row>
    <row r="5" spans="1:17" ht="15.75">
      <c r="A5" s="95"/>
      <c r="B5" s="39"/>
      <c r="C5" s="40"/>
      <c r="D5" s="96" t="s">
        <v>3</v>
      </c>
      <c r="E5" s="97"/>
      <c r="F5" s="41"/>
      <c r="G5" s="41"/>
      <c r="H5" s="98"/>
      <c r="J5" s="95"/>
      <c r="K5" s="39"/>
      <c r="L5" s="40"/>
      <c r="M5" s="96" t="s">
        <v>3</v>
      </c>
      <c r="N5" s="97"/>
      <c r="O5" s="41"/>
      <c r="P5" s="41"/>
      <c r="Q5" s="98"/>
    </row>
    <row r="6" spans="1:17" ht="15">
      <c r="A6" s="99" t="s">
        <v>121</v>
      </c>
      <c r="B6" s="100" t="s">
        <v>5</v>
      </c>
      <c r="C6" s="100" t="s">
        <v>6</v>
      </c>
      <c r="D6" s="101" t="s">
        <v>7</v>
      </c>
      <c r="E6" s="100" t="s">
        <v>8</v>
      </c>
      <c r="F6" s="102" t="s">
        <v>9</v>
      </c>
      <c r="G6" s="102" t="s">
        <v>10</v>
      </c>
      <c r="H6" s="99" t="s">
        <v>11</v>
      </c>
      <c r="J6" s="99" t="s">
        <v>121</v>
      </c>
      <c r="K6" s="100" t="s">
        <v>5</v>
      </c>
      <c r="L6" s="100" t="s">
        <v>6</v>
      </c>
      <c r="M6" s="101" t="s">
        <v>7</v>
      </c>
      <c r="N6" s="100" t="s">
        <v>8</v>
      </c>
      <c r="O6" s="102" t="s">
        <v>9</v>
      </c>
      <c r="P6" s="102" t="s">
        <v>10</v>
      </c>
      <c r="Q6" s="99" t="s">
        <v>11</v>
      </c>
    </row>
    <row r="7" spans="1:17" ht="15.75">
      <c r="A7" s="103"/>
      <c r="B7" s="104"/>
      <c r="C7" s="105"/>
      <c r="D7" s="106" t="s">
        <v>12</v>
      </c>
      <c r="E7" s="106" t="s">
        <v>13</v>
      </c>
      <c r="F7" s="107" t="s">
        <v>14</v>
      </c>
      <c r="G7" s="107" t="s">
        <v>14</v>
      </c>
      <c r="H7" s="108" t="s">
        <v>15</v>
      </c>
      <c r="J7" s="103"/>
      <c r="K7" s="104"/>
      <c r="L7" s="105"/>
      <c r="M7" s="106" t="s">
        <v>12</v>
      </c>
      <c r="N7" s="125" t="s">
        <v>13</v>
      </c>
      <c r="O7" s="127" t="s">
        <v>391</v>
      </c>
      <c r="P7" s="109" t="s">
        <v>391</v>
      </c>
      <c r="Q7" s="108" t="s">
        <v>15</v>
      </c>
    </row>
    <row r="8" spans="1:17" ht="15">
      <c r="A8" s="110">
        <v>1</v>
      </c>
      <c r="B8" s="23" t="s">
        <v>122</v>
      </c>
      <c r="C8" s="23">
        <v>37</v>
      </c>
      <c r="D8" s="42">
        <v>107.9</v>
      </c>
      <c r="E8" s="43">
        <v>6730</v>
      </c>
      <c r="F8" s="23">
        <v>3701500</v>
      </c>
      <c r="G8" s="22">
        <v>2874350</v>
      </c>
      <c r="H8" s="22">
        <v>185</v>
      </c>
      <c r="J8" s="110">
        <v>1</v>
      </c>
      <c r="K8" s="23" t="s">
        <v>124</v>
      </c>
      <c r="L8" s="23">
        <v>220</v>
      </c>
      <c r="M8" s="42">
        <v>190.5176</v>
      </c>
      <c r="N8" s="341">
        <v>233715</v>
      </c>
      <c r="O8" s="380">
        <v>233715000</v>
      </c>
      <c r="P8" s="22">
        <v>108649000</v>
      </c>
      <c r="Q8" s="22">
        <v>1100</v>
      </c>
    </row>
    <row r="9" spans="1:17" ht="15">
      <c r="A9" s="111">
        <f>+A8+1</f>
        <v>2</v>
      </c>
      <c r="B9" s="23" t="s">
        <v>123</v>
      </c>
      <c r="C9" s="23"/>
      <c r="D9" s="42"/>
      <c r="E9" s="43"/>
      <c r="F9" s="23"/>
      <c r="G9" s="22">
        <v>198889</v>
      </c>
      <c r="H9" s="22"/>
      <c r="J9" s="111">
        <f>+J8+1</f>
        <v>2</v>
      </c>
      <c r="K9" s="23" t="s">
        <v>122</v>
      </c>
      <c r="L9" s="23">
        <v>45</v>
      </c>
      <c r="M9" s="42">
        <v>129.1121</v>
      </c>
      <c r="N9" s="293">
        <v>52084</v>
      </c>
      <c r="O9" s="292">
        <v>52084000</v>
      </c>
      <c r="P9" s="22">
        <v>11932000</v>
      </c>
      <c r="Q9" s="22">
        <v>225</v>
      </c>
    </row>
    <row r="10" spans="1:17" ht="15">
      <c r="A10" s="111">
        <f>+A9+1</f>
        <v>3</v>
      </c>
      <c r="B10" s="23" t="s">
        <v>124</v>
      </c>
      <c r="C10" s="23">
        <v>220</v>
      </c>
      <c r="D10" s="42">
        <v>179.9</v>
      </c>
      <c r="E10" s="43">
        <v>208609</v>
      </c>
      <c r="F10" s="23">
        <f>E10*1000</f>
        <v>208609000</v>
      </c>
      <c r="G10" s="22">
        <v>72077652</v>
      </c>
      <c r="H10" s="22">
        <v>1100</v>
      </c>
      <c r="J10" s="111">
        <f>+J9+1</f>
        <v>3</v>
      </c>
      <c r="K10" s="23" t="s">
        <v>125</v>
      </c>
      <c r="L10" s="23">
        <v>17</v>
      </c>
      <c r="M10" s="42">
        <v>17</v>
      </c>
      <c r="N10" s="341">
        <v>3600</v>
      </c>
      <c r="O10" s="380">
        <v>180000</v>
      </c>
      <c r="P10" s="22">
        <v>2234600</v>
      </c>
      <c r="Q10" s="22">
        <v>85</v>
      </c>
    </row>
    <row r="11" spans="1:17" ht="15.75">
      <c r="A11" s="111">
        <v>4</v>
      </c>
      <c r="B11" s="23" t="s">
        <v>125</v>
      </c>
      <c r="C11" s="23">
        <v>7</v>
      </c>
      <c r="D11" s="42">
        <v>7</v>
      </c>
      <c r="E11" s="42"/>
      <c r="F11" s="23"/>
      <c r="G11" s="22">
        <v>59217</v>
      </c>
      <c r="H11" s="22">
        <v>35</v>
      </c>
      <c r="J11" s="111">
        <v>4</v>
      </c>
      <c r="K11" s="23" t="s">
        <v>126</v>
      </c>
      <c r="L11" s="23">
        <v>1</v>
      </c>
      <c r="M11" s="42">
        <v>2.25</v>
      </c>
      <c r="N11" s="293"/>
      <c r="O11" s="292"/>
      <c r="P11" s="5">
        <v>34000</v>
      </c>
      <c r="Q11" s="22">
        <v>5</v>
      </c>
    </row>
    <row r="12" spans="1:17" ht="15">
      <c r="A12" s="111"/>
      <c r="B12" s="23" t="s">
        <v>126</v>
      </c>
      <c r="C12" s="23">
        <v>5</v>
      </c>
      <c r="D12" s="42">
        <v>11.25</v>
      </c>
      <c r="E12" s="42"/>
      <c r="F12" s="23"/>
      <c r="G12" s="22">
        <v>8144</v>
      </c>
      <c r="H12" s="22"/>
      <c r="J12" s="111">
        <f>+J11+1</f>
        <v>5</v>
      </c>
      <c r="K12" s="23" t="s">
        <v>123</v>
      </c>
      <c r="L12" s="23"/>
      <c r="M12" s="42"/>
      <c r="N12" s="381">
        <v>185600</v>
      </c>
      <c r="O12" s="390">
        <v>18560000</v>
      </c>
      <c r="P12" s="22">
        <v>1856000</v>
      </c>
      <c r="Q12" s="22"/>
    </row>
    <row r="13" spans="1:17" ht="15">
      <c r="A13" s="111">
        <v>5</v>
      </c>
      <c r="B13" s="23" t="s">
        <v>41</v>
      </c>
      <c r="C13" s="23"/>
      <c r="D13" s="42"/>
      <c r="E13" s="42"/>
      <c r="F13" s="23"/>
      <c r="G13" s="22">
        <v>3863001</v>
      </c>
      <c r="H13" s="22"/>
      <c r="J13" s="111">
        <v>6</v>
      </c>
      <c r="K13" s="23" t="s">
        <v>127</v>
      </c>
      <c r="L13" s="23"/>
      <c r="M13" s="42"/>
      <c r="N13" s="381"/>
      <c r="O13" s="380"/>
      <c r="P13" s="22"/>
      <c r="Q13" s="22"/>
    </row>
    <row r="14" spans="1:17" ht="15">
      <c r="A14" s="111"/>
      <c r="B14" s="23"/>
      <c r="C14" s="23"/>
      <c r="D14" s="42"/>
      <c r="E14" s="42"/>
      <c r="F14" s="23"/>
      <c r="G14" s="22"/>
      <c r="H14" s="22"/>
      <c r="J14" s="111">
        <f>+J13+1</f>
        <v>7</v>
      </c>
      <c r="K14" s="23" t="s">
        <v>128</v>
      </c>
      <c r="L14" s="23"/>
      <c r="M14" s="42"/>
      <c r="N14" s="42"/>
      <c r="O14" s="23"/>
      <c r="P14" s="22">
        <v>2352000</v>
      </c>
      <c r="Q14" s="22"/>
    </row>
    <row r="15" spans="1:17" ht="15">
      <c r="A15" s="111"/>
      <c r="B15" s="23"/>
      <c r="C15" s="23"/>
      <c r="D15" s="42"/>
      <c r="E15" s="42"/>
      <c r="F15" s="23"/>
      <c r="G15" s="22"/>
      <c r="H15" s="22"/>
      <c r="J15" s="111">
        <v>8</v>
      </c>
      <c r="K15" s="23" t="s">
        <v>41</v>
      </c>
      <c r="L15" s="23"/>
      <c r="M15" s="42"/>
      <c r="N15" s="42"/>
      <c r="O15" s="23"/>
      <c r="P15" s="22">
        <v>10794400</v>
      </c>
      <c r="Q15" s="22"/>
    </row>
    <row r="16" spans="1:17" ht="15.75">
      <c r="A16" s="112"/>
      <c r="B16" s="113" t="s">
        <v>129</v>
      </c>
      <c r="C16" s="114">
        <f aca="true" t="shared" si="0" ref="C16:H16">SUM(C8:C13)</f>
        <v>269</v>
      </c>
      <c r="D16" s="115">
        <f t="shared" si="0"/>
        <v>306.05</v>
      </c>
      <c r="E16" s="114">
        <f t="shared" si="0"/>
        <v>215339</v>
      </c>
      <c r="F16" s="116">
        <f t="shared" si="0"/>
        <v>212310500</v>
      </c>
      <c r="G16" s="116">
        <f t="shared" si="0"/>
        <v>79081253</v>
      </c>
      <c r="H16" s="117">
        <f t="shared" si="0"/>
        <v>1320</v>
      </c>
      <c r="J16" s="112"/>
      <c r="K16" s="113" t="s">
        <v>129</v>
      </c>
      <c r="L16" s="114">
        <f aca="true" t="shared" si="1" ref="L16:Q16">SUM(L8:L13)</f>
        <v>283</v>
      </c>
      <c r="M16" s="115">
        <f t="shared" si="1"/>
        <v>338.87969999999996</v>
      </c>
      <c r="N16" s="114">
        <f t="shared" si="1"/>
        <v>474999</v>
      </c>
      <c r="O16" s="116">
        <f t="shared" si="1"/>
        <v>304539000</v>
      </c>
      <c r="P16" s="116">
        <f>SUM(P8:P15)</f>
        <v>137852000</v>
      </c>
      <c r="Q16" s="379">
        <f t="shared" si="1"/>
        <v>1415</v>
      </c>
    </row>
    <row r="17" spans="1:17" ht="15.75">
      <c r="A17" s="118"/>
      <c r="B17" s="119"/>
      <c r="C17" s="49"/>
      <c r="D17" s="68"/>
      <c r="E17" s="49"/>
      <c r="F17" s="50"/>
      <c r="G17" s="50"/>
      <c r="H17" s="120"/>
      <c r="J17" s="118"/>
      <c r="K17" s="119"/>
      <c r="L17" s="49"/>
      <c r="M17" s="68"/>
      <c r="N17" s="49"/>
      <c r="O17" s="50"/>
      <c r="P17" s="50"/>
      <c r="Q17" s="120"/>
    </row>
    <row r="18" spans="1:17" ht="15.75">
      <c r="A18" s="118"/>
      <c r="B18" s="121"/>
      <c r="C18" s="12"/>
      <c r="D18" s="122" t="s">
        <v>20</v>
      </c>
      <c r="E18" s="123"/>
      <c r="F18" s="14"/>
      <c r="G18" s="7"/>
      <c r="H18" s="120"/>
      <c r="J18" s="118"/>
      <c r="K18" s="121"/>
      <c r="L18" s="12"/>
      <c r="M18" s="122" t="s">
        <v>20</v>
      </c>
      <c r="N18" s="123"/>
      <c r="O18" s="14"/>
      <c r="P18" s="7"/>
      <c r="Q18" s="120"/>
    </row>
    <row r="19" spans="1:17" s="121" customFormat="1" ht="15.75">
      <c r="A19" s="99" t="s">
        <v>121</v>
      </c>
      <c r="B19" s="100" t="s">
        <v>5</v>
      </c>
      <c r="C19" s="100" t="s">
        <v>6</v>
      </c>
      <c r="D19" s="101" t="s">
        <v>7</v>
      </c>
      <c r="E19" s="100" t="s">
        <v>8</v>
      </c>
      <c r="F19" s="102" t="s">
        <v>9</v>
      </c>
      <c r="G19" s="102" t="s">
        <v>10</v>
      </c>
      <c r="H19" s="99" t="s">
        <v>11</v>
      </c>
      <c r="I19"/>
      <c r="J19" s="99" t="s">
        <v>121</v>
      </c>
      <c r="K19" s="100" t="s">
        <v>5</v>
      </c>
      <c r="L19" s="100" t="s">
        <v>6</v>
      </c>
      <c r="M19" s="101" t="s">
        <v>7</v>
      </c>
      <c r="N19" s="100" t="s">
        <v>8</v>
      </c>
      <c r="O19" s="102" t="s">
        <v>9</v>
      </c>
      <c r="P19" s="102" t="s">
        <v>10</v>
      </c>
      <c r="Q19" s="99" t="s">
        <v>11</v>
      </c>
    </row>
    <row r="20" spans="1:17" s="121" customFormat="1" ht="15.75">
      <c r="A20" s="124"/>
      <c r="B20" s="125"/>
      <c r="C20" s="125"/>
      <c r="D20" s="126" t="s">
        <v>12</v>
      </c>
      <c r="E20" s="125" t="s">
        <v>13</v>
      </c>
      <c r="F20" s="127" t="s">
        <v>14</v>
      </c>
      <c r="G20" s="127" t="s">
        <v>14</v>
      </c>
      <c r="H20" s="128" t="s">
        <v>15</v>
      </c>
      <c r="I20"/>
      <c r="J20" s="124"/>
      <c r="K20" s="125"/>
      <c r="L20" s="125"/>
      <c r="M20" s="126" t="s">
        <v>12</v>
      </c>
      <c r="N20" s="125" t="s">
        <v>13</v>
      </c>
      <c r="O20" s="127" t="s">
        <v>391</v>
      </c>
      <c r="P20" s="109" t="s">
        <v>391</v>
      </c>
      <c r="Q20" s="128" t="s">
        <v>15</v>
      </c>
    </row>
    <row r="21" spans="1:17" s="121" customFormat="1" ht="15.75">
      <c r="A21" s="111">
        <v>1</v>
      </c>
      <c r="B21" s="23" t="s">
        <v>124</v>
      </c>
      <c r="C21" s="24">
        <v>87</v>
      </c>
      <c r="D21" s="42">
        <v>110</v>
      </c>
      <c r="E21" s="23">
        <v>662451</v>
      </c>
      <c r="F21" s="22">
        <v>728696100</v>
      </c>
      <c r="G21" s="22">
        <v>104443200</v>
      </c>
      <c r="H21" s="20">
        <v>1890</v>
      </c>
      <c r="I21"/>
      <c r="J21" s="111">
        <v>1</v>
      </c>
      <c r="K21" s="23" t="s">
        <v>124</v>
      </c>
      <c r="L21" s="24">
        <v>110</v>
      </c>
      <c r="M21" s="42">
        <v>182.87</v>
      </c>
      <c r="N21" s="23">
        <v>1787058</v>
      </c>
      <c r="O21" s="22">
        <v>1644093360</v>
      </c>
      <c r="P21" s="22">
        <v>330882000</v>
      </c>
      <c r="Q21" s="20">
        <v>3100</v>
      </c>
    </row>
    <row r="22" spans="1:17" s="121" customFormat="1" ht="15.75">
      <c r="A22" s="111">
        <f aca="true" t="shared" si="2" ref="A22:A28">+A21+1</f>
        <v>2</v>
      </c>
      <c r="B22" s="23" t="s">
        <v>122</v>
      </c>
      <c r="C22" s="24">
        <v>13</v>
      </c>
      <c r="D22" s="42">
        <v>21.065</v>
      </c>
      <c r="E22" s="23">
        <v>7641</v>
      </c>
      <c r="F22" s="22">
        <v>11461500</v>
      </c>
      <c r="G22" s="22">
        <v>1251250</v>
      </c>
      <c r="H22" s="20">
        <v>53</v>
      </c>
      <c r="I22"/>
      <c r="J22" s="111">
        <f aca="true" t="shared" si="3" ref="J22:J30">+J21+1</f>
        <v>2</v>
      </c>
      <c r="K22" s="23" t="s">
        <v>122</v>
      </c>
      <c r="L22" s="24">
        <v>19</v>
      </c>
      <c r="M22" s="42">
        <v>36.47</v>
      </c>
      <c r="N22" s="23">
        <v>60788</v>
      </c>
      <c r="O22" s="22">
        <v>85103200</v>
      </c>
      <c r="P22" s="22">
        <v>9861000</v>
      </c>
      <c r="Q22" s="20">
        <v>125</v>
      </c>
    </row>
    <row r="23" spans="1:17" s="121" customFormat="1" ht="15.75">
      <c r="A23" s="111">
        <f t="shared" si="2"/>
        <v>3</v>
      </c>
      <c r="B23" s="23" t="s">
        <v>130</v>
      </c>
      <c r="C23" s="24">
        <v>155</v>
      </c>
      <c r="D23" s="42">
        <v>157.35</v>
      </c>
      <c r="E23" s="23">
        <v>2520772</v>
      </c>
      <c r="F23" s="22">
        <v>189057900</v>
      </c>
      <c r="G23" s="22">
        <v>16378510</v>
      </c>
      <c r="H23" s="20">
        <v>4325</v>
      </c>
      <c r="I23"/>
      <c r="J23" s="111">
        <f t="shared" si="3"/>
        <v>3</v>
      </c>
      <c r="K23" s="23" t="s">
        <v>130</v>
      </c>
      <c r="L23" s="24">
        <v>283</v>
      </c>
      <c r="M23" s="42">
        <v>283.87</v>
      </c>
      <c r="N23" s="23">
        <v>3418958</v>
      </c>
      <c r="O23" s="22">
        <v>615412440</v>
      </c>
      <c r="P23" s="22">
        <v>60026034</v>
      </c>
      <c r="Q23" s="20">
        <v>6800</v>
      </c>
    </row>
    <row r="24" spans="1:17" s="121" customFormat="1" ht="15.75">
      <c r="A24" s="111">
        <f t="shared" si="2"/>
        <v>4</v>
      </c>
      <c r="B24" s="23" t="s">
        <v>131</v>
      </c>
      <c r="C24" s="24">
        <v>1</v>
      </c>
      <c r="D24" s="42">
        <v>1</v>
      </c>
      <c r="E24" s="23">
        <v>840</v>
      </c>
      <c r="F24" s="22">
        <v>462000</v>
      </c>
      <c r="G24" s="22">
        <v>188000</v>
      </c>
      <c r="H24" s="20">
        <v>5</v>
      </c>
      <c r="I24"/>
      <c r="J24" s="111">
        <f t="shared" si="3"/>
        <v>4</v>
      </c>
      <c r="K24" s="23" t="s">
        <v>131</v>
      </c>
      <c r="L24" s="24">
        <v>1</v>
      </c>
      <c r="M24" s="42">
        <v>1</v>
      </c>
      <c r="N24" s="23"/>
      <c r="O24" s="22"/>
      <c r="P24" s="22">
        <v>16000</v>
      </c>
      <c r="Q24" s="20">
        <v>2</v>
      </c>
    </row>
    <row r="25" spans="1:17" s="121" customFormat="1" ht="15.75">
      <c r="A25" s="111">
        <f t="shared" si="2"/>
        <v>5</v>
      </c>
      <c r="B25" s="23" t="s">
        <v>132</v>
      </c>
      <c r="C25" s="24">
        <v>0</v>
      </c>
      <c r="D25" s="42">
        <v>0</v>
      </c>
      <c r="E25" s="23">
        <v>1088736</v>
      </c>
      <c r="F25" s="22">
        <v>81655200</v>
      </c>
      <c r="G25" s="22">
        <v>27332264</v>
      </c>
      <c r="H25" s="20">
        <v>3120</v>
      </c>
      <c r="I25"/>
      <c r="J25" s="111">
        <f t="shared" si="3"/>
        <v>5</v>
      </c>
      <c r="K25" s="23" t="s">
        <v>132</v>
      </c>
      <c r="L25" s="24"/>
      <c r="M25" s="42"/>
      <c r="N25" s="23">
        <v>3873828</v>
      </c>
      <c r="O25" s="22">
        <v>619812480</v>
      </c>
      <c r="P25" s="22">
        <v>148078266</v>
      </c>
      <c r="Q25" s="20">
        <v>9215</v>
      </c>
    </row>
    <row r="26" spans="1:17" s="121" customFormat="1" ht="15.75">
      <c r="A26" s="111">
        <f t="shared" si="2"/>
        <v>6</v>
      </c>
      <c r="B26" s="23" t="s">
        <v>133</v>
      </c>
      <c r="C26" s="24">
        <v>2</v>
      </c>
      <c r="D26" s="42">
        <v>2</v>
      </c>
      <c r="E26" s="23">
        <v>63125</v>
      </c>
      <c r="F26" s="22">
        <v>6628125</v>
      </c>
      <c r="G26" s="22">
        <v>1188032</v>
      </c>
      <c r="H26" s="20">
        <v>0</v>
      </c>
      <c r="I26"/>
      <c r="J26" s="111">
        <f t="shared" si="3"/>
        <v>6</v>
      </c>
      <c r="K26" s="23" t="s">
        <v>133</v>
      </c>
      <c r="L26" s="24">
        <v>6</v>
      </c>
      <c r="M26" s="42">
        <v>13.5</v>
      </c>
      <c r="N26" s="23">
        <v>158734</v>
      </c>
      <c r="O26" s="22">
        <v>24150560</v>
      </c>
      <c r="P26" s="22">
        <v>2939000</v>
      </c>
      <c r="Q26" s="20">
        <v>5</v>
      </c>
    </row>
    <row r="27" spans="1:17" s="121" customFormat="1" ht="15.75">
      <c r="A27" s="111">
        <f t="shared" si="2"/>
        <v>7</v>
      </c>
      <c r="B27" s="23" t="s">
        <v>27</v>
      </c>
      <c r="C27" s="24">
        <v>1</v>
      </c>
      <c r="D27" s="42">
        <v>1.5</v>
      </c>
      <c r="E27" s="23">
        <v>5382</v>
      </c>
      <c r="F27" s="22">
        <v>1614600</v>
      </c>
      <c r="G27" s="22">
        <v>417000</v>
      </c>
      <c r="H27" s="20">
        <v>0</v>
      </c>
      <c r="I27"/>
      <c r="J27" s="111">
        <f t="shared" si="3"/>
        <v>7</v>
      </c>
      <c r="K27" s="23" t="s">
        <v>27</v>
      </c>
      <c r="L27" s="24">
        <v>3</v>
      </c>
      <c r="M27" s="42">
        <v>3.7</v>
      </c>
      <c r="N27" s="23">
        <v>13888</v>
      </c>
      <c r="O27" s="22"/>
      <c r="P27" s="22">
        <v>1229534</v>
      </c>
      <c r="Q27" s="20"/>
    </row>
    <row r="28" spans="1:17" s="121" customFormat="1" ht="15.75">
      <c r="A28" s="111">
        <f t="shared" si="2"/>
        <v>8</v>
      </c>
      <c r="B28" s="23" t="s">
        <v>134</v>
      </c>
      <c r="C28" s="17"/>
      <c r="D28" s="129"/>
      <c r="E28" s="23">
        <v>376010</v>
      </c>
      <c r="F28" s="22">
        <v>319608500</v>
      </c>
      <c r="G28" s="22">
        <v>2608250</v>
      </c>
      <c r="H28" s="20">
        <v>485</v>
      </c>
      <c r="I28"/>
      <c r="J28" s="111">
        <f t="shared" si="3"/>
        <v>8</v>
      </c>
      <c r="K28" s="23" t="s">
        <v>134</v>
      </c>
      <c r="L28" s="17"/>
      <c r="M28" s="129"/>
      <c r="N28" s="23">
        <v>382276</v>
      </c>
      <c r="O28" s="22">
        <v>401389800</v>
      </c>
      <c r="P28" s="22">
        <v>8741743</v>
      </c>
      <c r="Q28" s="20">
        <v>710</v>
      </c>
    </row>
    <row r="29" spans="1:17" s="121" customFormat="1" ht="15.75">
      <c r="A29" s="111"/>
      <c r="B29" s="23"/>
      <c r="C29" s="17"/>
      <c r="D29" s="129"/>
      <c r="E29" s="23"/>
      <c r="F29" s="22"/>
      <c r="G29" s="22"/>
      <c r="H29" s="20"/>
      <c r="I29"/>
      <c r="J29" s="111">
        <f t="shared" si="3"/>
        <v>9</v>
      </c>
      <c r="K29" s="23" t="s">
        <v>128</v>
      </c>
      <c r="L29" s="17"/>
      <c r="M29" s="129"/>
      <c r="N29" s="23"/>
      <c r="O29" s="22"/>
      <c r="P29" s="22">
        <v>15683000</v>
      </c>
      <c r="Q29" s="20"/>
    </row>
    <row r="30" spans="1:17" s="121" customFormat="1" ht="15.75">
      <c r="A30" s="111">
        <v>9</v>
      </c>
      <c r="B30" s="23" t="s">
        <v>41</v>
      </c>
      <c r="C30" s="17"/>
      <c r="D30" s="129"/>
      <c r="E30" s="31"/>
      <c r="F30" s="22"/>
      <c r="G30" s="22">
        <v>11108185</v>
      </c>
      <c r="H30" s="20"/>
      <c r="I30"/>
      <c r="J30" s="111">
        <f t="shared" si="3"/>
        <v>10</v>
      </c>
      <c r="K30" s="23" t="s">
        <v>41</v>
      </c>
      <c r="L30" s="17"/>
      <c r="M30" s="129"/>
      <c r="N30" s="31"/>
      <c r="O30" s="22"/>
      <c r="P30" s="22">
        <v>300000</v>
      </c>
      <c r="Q30" s="20"/>
    </row>
    <row r="31" spans="1:17" s="121" customFormat="1" ht="15.75">
      <c r="A31" s="130"/>
      <c r="B31" s="131" t="s">
        <v>129</v>
      </c>
      <c r="C31" s="131">
        <f aca="true" t="shared" si="4" ref="C31:H31">SUM(C21:C30)</f>
        <v>259</v>
      </c>
      <c r="D31" s="132">
        <f t="shared" si="4"/>
        <v>292.91499999999996</v>
      </c>
      <c r="E31" s="131">
        <f t="shared" si="4"/>
        <v>4724957</v>
      </c>
      <c r="F31" s="133">
        <f t="shared" si="4"/>
        <v>1339183925</v>
      </c>
      <c r="G31" s="133">
        <f t="shared" si="4"/>
        <v>164914691</v>
      </c>
      <c r="H31" s="134">
        <f t="shared" si="4"/>
        <v>9878</v>
      </c>
      <c r="I31"/>
      <c r="J31" s="130"/>
      <c r="K31" s="131" t="s">
        <v>129</v>
      </c>
      <c r="L31" s="131">
        <f aca="true" t="shared" si="5" ref="L31:Q31">SUM(L21:L30)</f>
        <v>422</v>
      </c>
      <c r="M31" s="132">
        <f t="shared" si="5"/>
        <v>521.4100000000001</v>
      </c>
      <c r="N31" s="131">
        <f t="shared" si="5"/>
        <v>9695530</v>
      </c>
      <c r="O31" s="133">
        <f t="shared" si="5"/>
        <v>3389961840</v>
      </c>
      <c r="P31" s="133">
        <f t="shared" si="5"/>
        <v>577756577</v>
      </c>
      <c r="Q31" s="134">
        <f t="shared" si="5"/>
        <v>19957</v>
      </c>
    </row>
    <row r="32" spans="1:17" ht="15.75">
      <c r="A32" s="118"/>
      <c r="B32" s="121"/>
      <c r="C32" s="12"/>
      <c r="D32" s="123"/>
      <c r="E32" s="123"/>
      <c r="F32" s="14"/>
      <c r="G32" s="14"/>
      <c r="H32" s="120"/>
      <c r="J32" s="118"/>
      <c r="K32" s="121"/>
      <c r="L32" s="12"/>
      <c r="M32" s="123"/>
      <c r="N32" s="123"/>
      <c r="O32" s="14"/>
      <c r="P32" s="14"/>
      <c r="Q32" s="120"/>
    </row>
    <row r="33" spans="1:17" ht="15.75">
      <c r="A33" s="95"/>
      <c r="B33" s="39"/>
      <c r="C33" s="40"/>
      <c r="D33" s="135" t="s">
        <v>32</v>
      </c>
      <c r="E33" s="97"/>
      <c r="F33" s="41"/>
      <c r="G33" s="41"/>
      <c r="H33" s="98"/>
      <c r="J33" s="95"/>
      <c r="K33" s="39"/>
      <c r="L33" s="40"/>
      <c r="M33" s="135" t="s">
        <v>32</v>
      </c>
      <c r="N33" s="97"/>
      <c r="O33" s="41"/>
      <c r="P33" s="41"/>
      <c r="Q33" s="98"/>
    </row>
    <row r="34" spans="1:17" ht="15">
      <c r="A34" s="99" t="s">
        <v>121</v>
      </c>
      <c r="B34" s="100" t="s">
        <v>5</v>
      </c>
      <c r="C34" s="100" t="s">
        <v>6</v>
      </c>
      <c r="D34" s="101" t="s">
        <v>7</v>
      </c>
      <c r="E34" s="100" t="s">
        <v>8</v>
      </c>
      <c r="F34" s="102" t="s">
        <v>9</v>
      </c>
      <c r="G34" s="102" t="s">
        <v>10</v>
      </c>
      <c r="H34" s="99" t="s">
        <v>11</v>
      </c>
      <c r="J34" s="99" t="s">
        <v>121</v>
      </c>
      <c r="K34" s="100" t="s">
        <v>5</v>
      </c>
      <c r="L34" s="100" t="s">
        <v>6</v>
      </c>
      <c r="M34" s="101" t="s">
        <v>7</v>
      </c>
      <c r="N34" s="100" t="s">
        <v>8</v>
      </c>
      <c r="O34" s="102" t="s">
        <v>9</v>
      </c>
      <c r="P34" s="102" t="s">
        <v>10</v>
      </c>
      <c r="Q34" s="99" t="s">
        <v>11</v>
      </c>
    </row>
    <row r="35" spans="1:17" ht="15.75">
      <c r="A35" s="103"/>
      <c r="B35" s="104"/>
      <c r="C35" s="105"/>
      <c r="D35" s="106" t="s">
        <v>12</v>
      </c>
      <c r="E35" s="106" t="s">
        <v>13</v>
      </c>
      <c r="F35" s="109" t="s">
        <v>14</v>
      </c>
      <c r="G35" s="109" t="s">
        <v>14</v>
      </c>
      <c r="H35" s="108" t="s">
        <v>15</v>
      </c>
      <c r="J35" s="103"/>
      <c r="K35" s="104"/>
      <c r="L35" s="105"/>
      <c r="M35" s="106" t="s">
        <v>12</v>
      </c>
      <c r="N35" s="106" t="s">
        <v>13</v>
      </c>
      <c r="O35" s="127" t="s">
        <v>391</v>
      </c>
      <c r="P35" s="109" t="s">
        <v>391</v>
      </c>
      <c r="Q35" s="108" t="s">
        <v>15</v>
      </c>
    </row>
    <row r="36" spans="1:17" ht="15">
      <c r="A36" s="110">
        <v>1</v>
      </c>
      <c r="B36" s="23" t="s">
        <v>135</v>
      </c>
      <c r="C36" s="24"/>
      <c r="D36" s="42"/>
      <c r="E36" s="23">
        <v>1633000</v>
      </c>
      <c r="F36" s="22">
        <v>1306400000</v>
      </c>
      <c r="G36" s="22">
        <v>13943104</v>
      </c>
      <c r="H36" s="20">
        <v>10000</v>
      </c>
      <c r="J36" s="110">
        <v>1</v>
      </c>
      <c r="K36" s="23" t="s">
        <v>124</v>
      </c>
      <c r="L36" s="24">
        <v>96</v>
      </c>
      <c r="M36" s="23">
        <v>152.1174</v>
      </c>
      <c r="N36" s="23">
        <v>1531838</v>
      </c>
      <c r="O36" s="22">
        <v>752920000</v>
      </c>
      <c r="P36" s="22">
        <v>110892163</v>
      </c>
      <c r="Q36" s="20">
        <v>812</v>
      </c>
    </row>
    <row r="37" spans="1:17" ht="15">
      <c r="A37" s="111">
        <v>2</v>
      </c>
      <c r="B37" s="23" t="s">
        <v>136</v>
      </c>
      <c r="C37" s="24">
        <v>3</v>
      </c>
      <c r="D37" s="42">
        <v>3</v>
      </c>
      <c r="E37" s="23">
        <v>336</v>
      </c>
      <c r="F37" s="22">
        <v>201600</v>
      </c>
      <c r="G37" s="22">
        <v>79098</v>
      </c>
      <c r="H37" s="20">
        <v>3</v>
      </c>
      <c r="J37" s="111">
        <v>2</v>
      </c>
      <c r="K37" s="23" t="s">
        <v>125</v>
      </c>
      <c r="L37" s="24">
        <v>179</v>
      </c>
      <c r="M37" s="23">
        <v>177.1432</v>
      </c>
      <c r="N37" s="23">
        <v>500000</v>
      </c>
      <c r="O37" s="22">
        <v>200000000</v>
      </c>
      <c r="P37" s="22">
        <v>91333264</v>
      </c>
      <c r="Q37" s="20">
        <v>275</v>
      </c>
    </row>
    <row r="38" spans="1:17" ht="15">
      <c r="A38" s="111">
        <f aca="true" t="shared" si="6" ref="A38:A43">+A37+1</f>
        <v>3</v>
      </c>
      <c r="B38" s="23" t="s">
        <v>122</v>
      </c>
      <c r="C38" s="24">
        <v>1</v>
      </c>
      <c r="D38" s="42">
        <v>4</v>
      </c>
      <c r="E38" s="23">
        <v>120</v>
      </c>
      <c r="F38" s="22">
        <v>120000</v>
      </c>
      <c r="G38" s="22">
        <v>66278</v>
      </c>
      <c r="H38" s="20">
        <v>1</v>
      </c>
      <c r="J38" s="110">
        <v>3</v>
      </c>
      <c r="K38" s="23" t="s">
        <v>137</v>
      </c>
      <c r="L38" s="24"/>
      <c r="M38" s="23"/>
      <c r="N38" s="23"/>
      <c r="O38" s="22"/>
      <c r="P38" s="22">
        <v>5021</v>
      </c>
      <c r="Q38" s="20"/>
    </row>
    <row r="39" spans="1:17" ht="15">
      <c r="A39" s="111">
        <f t="shared" si="6"/>
        <v>4</v>
      </c>
      <c r="B39" s="23" t="s">
        <v>123</v>
      </c>
      <c r="C39" s="24"/>
      <c r="D39" s="42"/>
      <c r="E39" s="23">
        <v>892000</v>
      </c>
      <c r="F39" s="22">
        <v>267600000</v>
      </c>
      <c r="G39" s="22">
        <v>5942704</v>
      </c>
      <c r="H39" s="20">
        <v>300</v>
      </c>
      <c r="J39" s="111">
        <v>4</v>
      </c>
      <c r="K39" s="23" t="s">
        <v>122</v>
      </c>
      <c r="L39" s="24">
        <v>1</v>
      </c>
      <c r="M39" s="23">
        <v>4</v>
      </c>
      <c r="N39" s="23"/>
      <c r="O39" s="22"/>
      <c r="P39" s="22">
        <v>56000</v>
      </c>
      <c r="Q39" s="20"/>
    </row>
    <row r="40" spans="1:17" ht="15">
      <c r="A40" s="111">
        <f t="shared" si="6"/>
        <v>5</v>
      </c>
      <c r="B40" s="23" t="s">
        <v>137</v>
      </c>
      <c r="C40" s="24">
        <v>2</v>
      </c>
      <c r="D40" s="42">
        <v>8.98</v>
      </c>
      <c r="E40" s="23">
        <v>0</v>
      </c>
      <c r="F40" s="22">
        <v>0</v>
      </c>
      <c r="G40" s="22">
        <v>12795</v>
      </c>
      <c r="H40" s="20">
        <v>0</v>
      </c>
      <c r="J40" s="110">
        <v>5</v>
      </c>
      <c r="K40" s="23" t="s">
        <v>133</v>
      </c>
      <c r="L40" s="24">
        <v>1</v>
      </c>
      <c r="M40" s="23">
        <v>4.9275</v>
      </c>
      <c r="N40" s="23">
        <v>311</v>
      </c>
      <c r="O40" s="22">
        <v>185000</v>
      </c>
      <c r="P40" s="22">
        <v>69152</v>
      </c>
      <c r="Q40" s="20">
        <v>2</v>
      </c>
    </row>
    <row r="41" spans="1:17" ht="15">
      <c r="A41" s="111">
        <f t="shared" si="6"/>
        <v>6</v>
      </c>
      <c r="B41" s="23" t="s">
        <v>124</v>
      </c>
      <c r="C41" s="24">
        <v>101</v>
      </c>
      <c r="D41" s="42">
        <v>134.8573</v>
      </c>
      <c r="E41" s="23">
        <f>1151100+140500</f>
        <v>1291600</v>
      </c>
      <c r="F41" s="22">
        <f>112400000+207198000</f>
        <v>319598000</v>
      </c>
      <c r="G41" s="22">
        <v>85941565</v>
      </c>
      <c r="H41" s="20">
        <v>330</v>
      </c>
      <c r="J41" s="111">
        <v>6</v>
      </c>
      <c r="K41" s="23" t="s">
        <v>136</v>
      </c>
      <c r="L41" s="24">
        <v>2</v>
      </c>
      <c r="M41" s="23">
        <v>2</v>
      </c>
      <c r="N41" s="23">
        <v>649</v>
      </c>
      <c r="O41" s="22">
        <v>195000</v>
      </c>
      <c r="P41" s="22">
        <v>76327</v>
      </c>
      <c r="Q41" s="20">
        <v>3</v>
      </c>
    </row>
    <row r="42" spans="1:17" ht="15">
      <c r="A42" s="111">
        <f t="shared" si="6"/>
        <v>7</v>
      </c>
      <c r="B42" s="23" t="s">
        <v>125</v>
      </c>
      <c r="C42" s="24">
        <v>80</v>
      </c>
      <c r="D42" s="42">
        <v>76.693</v>
      </c>
      <c r="E42" s="23">
        <v>566000</v>
      </c>
      <c r="F42" s="22">
        <v>101880000</v>
      </c>
      <c r="G42" s="22">
        <v>16207558</v>
      </c>
      <c r="H42" s="20">
        <v>225</v>
      </c>
      <c r="J42" s="110">
        <v>7</v>
      </c>
      <c r="K42" s="23" t="s">
        <v>135</v>
      </c>
      <c r="L42" s="24"/>
      <c r="M42" s="23"/>
      <c r="N42" s="23">
        <v>1200000</v>
      </c>
      <c r="O42" s="22">
        <v>1200000000</v>
      </c>
      <c r="P42" s="22">
        <v>25684595</v>
      </c>
      <c r="Q42" s="20">
        <v>11000</v>
      </c>
    </row>
    <row r="43" spans="1:17" ht="15">
      <c r="A43" s="111">
        <f t="shared" si="6"/>
        <v>8</v>
      </c>
      <c r="B43" s="23" t="s">
        <v>133</v>
      </c>
      <c r="C43" s="24">
        <v>1</v>
      </c>
      <c r="D43" s="42">
        <v>13.38</v>
      </c>
      <c r="E43" s="23">
        <v>200</v>
      </c>
      <c r="F43" s="22">
        <v>50000</v>
      </c>
      <c r="G43" s="22">
        <v>62046</v>
      </c>
      <c r="H43" s="20">
        <v>2</v>
      </c>
      <c r="J43" s="111">
        <v>8</v>
      </c>
      <c r="K43" s="23" t="s">
        <v>123</v>
      </c>
      <c r="L43" s="24"/>
      <c r="M43" s="23"/>
      <c r="N43" s="31">
        <v>1075000</v>
      </c>
      <c r="O43" s="22">
        <v>430000000</v>
      </c>
      <c r="P43" s="22">
        <v>13473913</v>
      </c>
      <c r="Q43" s="20">
        <v>600</v>
      </c>
    </row>
    <row r="44" spans="1:17" ht="15">
      <c r="A44" s="111">
        <v>10</v>
      </c>
      <c r="B44" s="23" t="s">
        <v>128</v>
      </c>
      <c r="C44" s="17"/>
      <c r="D44" s="129"/>
      <c r="E44" s="31"/>
      <c r="F44" s="22"/>
      <c r="G44" s="22">
        <v>28368901</v>
      </c>
      <c r="H44" s="20"/>
      <c r="J44" s="110">
        <v>9</v>
      </c>
      <c r="K44" s="23" t="s">
        <v>128</v>
      </c>
      <c r="L44" s="17"/>
      <c r="M44" s="129"/>
      <c r="N44" s="31"/>
      <c r="O44" s="22"/>
      <c r="P44" s="22">
        <v>21565743</v>
      </c>
      <c r="Q44" s="20"/>
    </row>
    <row r="45" spans="1:17" ht="15">
      <c r="A45" s="136">
        <v>11</v>
      </c>
      <c r="B45" s="137" t="s">
        <v>41</v>
      </c>
      <c r="C45" s="17"/>
      <c r="D45" s="129"/>
      <c r="E45" s="31"/>
      <c r="F45" s="22"/>
      <c r="G45" s="22">
        <v>12442647</v>
      </c>
      <c r="H45" s="20"/>
      <c r="J45" s="111">
        <v>10</v>
      </c>
      <c r="K45" s="137" t="s">
        <v>41</v>
      </c>
      <c r="L45" s="17"/>
      <c r="M45" s="129"/>
      <c r="N45" s="31"/>
      <c r="O45" s="22"/>
      <c r="P45" s="22">
        <v>34018717</v>
      </c>
      <c r="Q45" s="20"/>
    </row>
    <row r="46" spans="1:17" ht="15.75">
      <c r="A46" s="112"/>
      <c r="B46" s="113" t="s">
        <v>129</v>
      </c>
      <c r="C46" s="114">
        <f aca="true" t="shared" si="7" ref="C46:H46">SUM(C36:C45)</f>
        <v>188</v>
      </c>
      <c r="D46" s="115">
        <f t="shared" si="7"/>
        <v>240.9103</v>
      </c>
      <c r="E46" s="114">
        <f t="shared" si="7"/>
        <v>4383256</v>
      </c>
      <c r="F46" s="116">
        <f t="shared" si="7"/>
        <v>1995849600</v>
      </c>
      <c r="G46" s="116">
        <f t="shared" si="7"/>
        <v>163066696</v>
      </c>
      <c r="H46" s="117">
        <f t="shared" si="7"/>
        <v>10861</v>
      </c>
      <c r="J46" s="112"/>
      <c r="K46" s="113" t="s">
        <v>129</v>
      </c>
      <c r="L46" s="114">
        <f aca="true" t="shared" si="8" ref="L46:Q46">SUM(L36:L45)</f>
        <v>279</v>
      </c>
      <c r="M46" s="115">
        <f t="shared" si="8"/>
        <v>340.1881</v>
      </c>
      <c r="N46" s="114">
        <f t="shared" si="8"/>
        <v>4307798</v>
      </c>
      <c r="O46" s="116">
        <f t="shared" si="8"/>
        <v>2583300000</v>
      </c>
      <c r="P46" s="116">
        <f t="shared" si="8"/>
        <v>297174895</v>
      </c>
      <c r="Q46" s="116">
        <f t="shared" si="8"/>
        <v>12692</v>
      </c>
    </row>
    <row r="47" spans="1:17" ht="15.75">
      <c r="A47" s="138"/>
      <c r="B47" s="139"/>
      <c r="C47" s="139"/>
      <c r="D47" s="140"/>
      <c r="E47" s="139"/>
      <c r="F47" s="141"/>
      <c r="G47" s="141"/>
      <c r="H47" s="142"/>
      <c r="J47" s="138"/>
      <c r="K47" s="139"/>
      <c r="L47" s="139"/>
      <c r="M47" s="140"/>
      <c r="N47" s="139"/>
      <c r="O47" s="141"/>
      <c r="P47" s="141"/>
      <c r="Q47" s="142"/>
    </row>
    <row r="48" spans="1:17" ht="15.75">
      <c r="A48" s="143"/>
      <c r="B48" s="144"/>
      <c r="C48" s="145"/>
      <c r="D48" s="146" t="s">
        <v>138</v>
      </c>
      <c r="E48" s="147"/>
      <c r="F48" s="148"/>
      <c r="G48" s="148"/>
      <c r="H48" s="149"/>
      <c r="J48" s="143"/>
      <c r="K48" s="144"/>
      <c r="L48" s="145"/>
      <c r="M48" s="146" t="s">
        <v>138</v>
      </c>
      <c r="N48" s="147"/>
      <c r="O48" s="148"/>
      <c r="P48" s="148"/>
      <c r="Q48" s="149"/>
    </row>
    <row r="49" spans="1:17" ht="15">
      <c r="A49" s="99" t="s">
        <v>121</v>
      </c>
      <c r="B49" s="100" t="s">
        <v>5</v>
      </c>
      <c r="C49" s="100" t="s">
        <v>6</v>
      </c>
      <c r="D49" s="101" t="s">
        <v>7</v>
      </c>
      <c r="E49" s="100" t="s">
        <v>8</v>
      </c>
      <c r="F49" s="102" t="s">
        <v>9</v>
      </c>
      <c r="G49" s="102" t="s">
        <v>10</v>
      </c>
      <c r="H49" s="99" t="s">
        <v>11</v>
      </c>
      <c r="J49" s="99" t="s">
        <v>121</v>
      </c>
      <c r="K49" s="100" t="s">
        <v>5</v>
      </c>
      <c r="L49" s="100" t="s">
        <v>6</v>
      </c>
      <c r="M49" s="101" t="s">
        <v>7</v>
      </c>
      <c r="N49" s="100" t="s">
        <v>8</v>
      </c>
      <c r="O49" s="102" t="s">
        <v>9</v>
      </c>
      <c r="P49" s="102" t="s">
        <v>10</v>
      </c>
      <c r="Q49" s="99" t="s">
        <v>11</v>
      </c>
    </row>
    <row r="50" spans="1:17" ht="15.75">
      <c r="A50" s="103"/>
      <c r="B50" s="104"/>
      <c r="C50" s="105"/>
      <c r="D50" s="106" t="s">
        <v>12</v>
      </c>
      <c r="E50" s="106" t="s">
        <v>13</v>
      </c>
      <c r="F50" s="109" t="s">
        <v>14</v>
      </c>
      <c r="G50" s="109" t="s">
        <v>14</v>
      </c>
      <c r="H50" s="108" t="s">
        <v>15</v>
      </c>
      <c r="J50" s="103"/>
      <c r="K50" s="104"/>
      <c r="L50" s="105"/>
      <c r="M50" s="106" t="s">
        <v>12</v>
      </c>
      <c r="N50" s="106" t="s">
        <v>13</v>
      </c>
      <c r="O50" s="127" t="s">
        <v>391</v>
      </c>
      <c r="P50" s="109" t="s">
        <v>391</v>
      </c>
      <c r="Q50" s="108" t="s">
        <v>15</v>
      </c>
    </row>
    <row r="51" spans="1:17" ht="15">
      <c r="A51" s="111">
        <v>1</v>
      </c>
      <c r="B51" s="23" t="s">
        <v>123</v>
      </c>
      <c r="C51" s="23"/>
      <c r="D51" s="42"/>
      <c r="E51" s="43">
        <v>41745</v>
      </c>
      <c r="F51" s="23">
        <v>5218125</v>
      </c>
      <c r="G51" s="22">
        <v>240138</v>
      </c>
      <c r="H51" s="22">
        <v>988</v>
      </c>
      <c r="J51" s="111">
        <v>1</v>
      </c>
      <c r="K51" s="23" t="s">
        <v>124</v>
      </c>
      <c r="L51" s="23">
        <v>11</v>
      </c>
      <c r="M51" s="23">
        <v>37</v>
      </c>
      <c r="N51" s="43">
        <v>2018</v>
      </c>
      <c r="O51" s="23">
        <v>6054000</v>
      </c>
      <c r="P51" s="22">
        <v>3267000</v>
      </c>
      <c r="Q51" s="22">
        <v>130</v>
      </c>
    </row>
    <row r="52" spans="1:17" ht="15">
      <c r="A52" s="111">
        <f>+A51+1</f>
        <v>2</v>
      </c>
      <c r="B52" s="23" t="s">
        <v>124</v>
      </c>
      <c r="C52" s="23">
        <v>23</v>
      </c>
      <c r="D52" s="42">
        <v>18.15</v>
      </c>
      <c r="E52" s="43">
        <v>1083</v>
      </c>
      <c r="F52" s="23">
        <v>3158100</v>
      </c>
      <c r="G52" s="22">
        <v>3034625</v>
      </c>
      <c r="H52" s="22">
        <v>51</v>
      </c>
      <c r="J52" s="111">
        <f>+J51+1</f>
        <v>2</v>
      </c>
      <c r="K52" s="23" t="s">
        <v>140</v>
      </c>
      <c r="L52" s="23">
        <v>16</v>
      </c>
      <c r="M52" s="23">
        <v>15.99</v>
      </c>
      <c r="N52" s="43">
        <v>721465</v>
      </c>
      <c r="O52" s="23">
        <v>901831250</v>
      </c>
      <c r="P52" s="22">
        <v>124912500</v>
      </c>
      <c r="Q52" s="22">
        <v>4185</v>
      </c>
    </row>
    <row r="53" spans="1:17" ht="15">
      <c r="A53" s="111">
        <f>+A52+1</f>
        <v>3</v>
      </c>
      <c r="B53" s="23" t="s">
        <v>125</v>
      </c>
      <c r="C53" s="23">
        <v>25</v>
      </c>
      <c r="D53" s="42">
        <v>26.25</v>
      </c>
      <c r="E53" s="43">
        <v>10512398</v>
      </c>
      <c r="F53" s="23">
        <v>525619900</v>
      </c>
      <c r="G53" s="22">
        <v>71003255</v>
      </c>
      <c r="H53" s="22">
        <v>3540</v>
      </c>
      <c r="J53" s="111">
        <f>+J52+1</f>
        <v>3</v>
      </c>
      <c r="K53" s="23" t="s">
        <v>125</v>
      </c>
      <c r="L53" s="23">
        <v>46</v>
      </c>
      <c r="M53" s="23">
        <v>46</v>
      </c>
      <c r="N53" s="43">
        <v>892805</v>
      </c>
      <c r="O53" s="23">
        <v>178561000</v>
      </c>
      <c r="P53" s="22">
        <v>70498877</v>
      </c>
      <c r="Q53" s="22">
        <v>8550</v>
      </c>
    </row>
    <row r="54" spans="1:17" ht="15">
      <c r="A54" s="111">
        <v>4</v>
      </c>
      <c r="B54" s="23" t="s">
        <v>139</v>
      </c>
      <c r="C54" s="23"/>
      <c r="D54" s="42"/>
      <c r="E54" s="43">
        <f>567392+53443</f>
        <v>620835</v>
      </c>
      <c r="F54" s="23">
        <f>56739200+2137720</f>
        <v>58876920</v>
      </c>
      <c r="G54" s="22">
        <f>857637+133401</f>
        <v>991038</v>
      </c>
      <c r="H54" s="22">
        <v>1320</v>
      </c>
      <c r="J54" s="111">
        <v>4</v>
      </c>
      <c r="K54" s="23" t="s">
        <v>123</v>
      </c>
      <c r="L54" s="23"/>
      <c r="M54" s="185"/>
      <c r="N54" s="43">
        <v>45600</v>
      </c>
      <c r="O54" s="23">
        <v>7980000</v>
      </c>
      <c r="P54" s="22">
        <v>109000</v>
      </c>
      <c r="Q54" s="22">
        <v>1910</v>
      </c>
    </row>
    <row r="55" spans="1:17" ht="15">
      <c r="A55" s="111"/>
      <c r="B55" s="23"/>
      <c r="C55" s="23"/>
      <c r="D55" s="42"/>
      <c r="E55" s="43"/>
      <c r="F55" s="23"/>
      <c r="G55" s="22"/>
      <c r="H55" s="22"/>
      <c r="J55" s="111">
        <v>5</v>
      </c>
      <c r="K55" s="23" t="s">
        <v>139</v>
      </c>
      <c r="L55" s="347"/>
      <c r="M55" s="310"/>
      <c r="N55" s="338">
        <v>260895</v>
      </c>
      <c r="O55" s="23">
        <v>32611875</v>
      </c>
      <c r="P55" s="22">
        <v>148600</v>
      </c>
      <c r="Q55" s="22">
        <v>1260</v>
      </c>
    </row>
    <row r="56" spans="1:17" ht="15">
      <c r="A56" s="111">
        <v>5</v>
      </c>
      <c r="B56" s="23" t="s">
        <v>140</v>
      </c>
      <c r="C56" s="23">
        <v>16</v>
      </c>
      <c r="D56" s="42">
        <v>15.991</v>
      </c>
      <c r="E56" s="43">
        <v>689044.4</v>
      </c>
      <c r="F56" s="23">
        <v>620139960</v>
      </c>
      <c r="G56" s="22">
        <v>40623453</v>
      </c>
      <c r="H56" s="22">
        <v>7705</v>
      </c>
      <c r="J56" s="111">
        <v>6</v>
      </c>
      <c r="K56" s="23" t="s">
        <v>135</v>
      </c>
      <c r="L56" s="347"/>
      <c r="M56" s="310"/>
      <c r="N56" s="338">
        <v>35550</v>
      </c>
      <c r="O56" s="23">
        <v>1599750</v>
      </c>
      <c r="P56" s="22">
        <v>83900</v>
      </c>
      <c r="Q56" s="22">
        <v>465</v>
      </c>
    </row>
    <row r="57" spans="1:17" ht="15.75">
      <c r="A57" s="111">
        <v>6</v>
      </c>
      <c r="B57" s="23" t="s">
        <v>128</v>
      </c>
      <c r="C57" s="23"/>
      <c r="D57" s="42"/>
      <c r="E57" s="43"/>
      <c r="F57" s="23"/>
      <c r="G57" s="22">
        <v>1478000</v>
      </c>
      <c r="H57" s="22"/>
      <c r="J57" s="111">
        <v>7</v>
      </c>
      <c r="K57" s="23" t="s">
        <v>128</v>
      </c>
      <c r="L57" s="347"/>
      <c r="M57" s="340"/>
      <c r="N57" s="338"/>
      <c r="O57" s="23"/>
      <c r="P57" s="22">
        <v>12510163</v>
      </c>
      <c r="Q57" s="22"/>
    </row>
    <row r="58" spans="1:17" ht="15.75">
      <c r="A58" s="111">
        <v>7</v>
      </c>
      <c r="B58" s="23" t="s">
        <v>41</v>
      </c>
      <c r="C58" s="23"/>
      <c r="D58" s="42"/>
      <c r="E58" s="43"/>
      <c r="F58" s="23"/>
      <c r="G58" s="22">
        <f>167833336-117370509</f>
        <v>50462827</v>
      </c>
      <c r="H58" s="22"/>
      <c r="J58" s="92">
        <v>8</v>
      </c>
      <c r="K58" s="23" t="s">
        <v>41</v>
      </c>
      <c r="L58" s="347"/>
      <c r="M58" s="340"/>
      <c r="N58" s="338"/>
      <c r="O58" s="23"/>
      <c r="P58" s="22">
        <v>388000</v>
      </c>
      <c r="Q58" s="22"/>
    </row>
    <row r="59" spans="1:17" ht="15.75">
      <c r="A59" s="124"/>
      <c r="B59" s="113" t="s">
        <v>129</v>
      </c>
      <c r="C59" s="113">
        <f aca="true" t="shared" si="9" ref="C59:H59">SUM(C51:C58)</f>
        <v>64</v>
      </c>
      <c r="D59" s="150">
        <f t="shared" si="9"/>
        <v>60.391</v>
      </c>
      <c r="E59" s="151">
        <f t="shared" si="9"/>
        <v>11865105.4</v>
      </c>
      <c r="F59" s="151">
        <f t="shared" si="9"/>
        <v>1213013005</v>
      </c>
      <c r="G59" s="151">
        <f t="shared" si="9"/>
        <v>167833336</v>
      </c>
      <c r="H59" s="117">
        <f t="shared" si="9"/>
        <v>13604</v>
      </c>
      <c r="J59" s="124"/>
      <c r="K59" s="113" t="s">
        <v>129</v>
      </c>
      <c r="L59" s="113">
        <f aca="true" t="shared" si="10" ref="L59:Q59">SUM(L51:L58)</f>
        <v>73</v>
      </c>
      <c r="M59" s="132">
        <f t="shared" si="10"/>
        <v>98.99000000000001</v>
      </c>
      <c r="N59" s="151">
        <f t="shared" si="10"/>
        <v>1958333</v>
      </c>
      <c r="O59" s="151">
        <f t="shared" si="10"/>
        <v>1128637875</v>
      </c>
      <c r="P59" s="151">
        <f t="shared" si="10"/>
        <v>211918040</v>
      </c>
      <c r="Q59" s="117">
        <f t="shared" si="10"/>
        <v>16500</v>
      </c>
    </row>
    <row r="60" spans="1:17" ht="15.75">
      <c r="A60" s="152"/>
      <c r="B60" s="153"/>
      <c r="C60" s="154"/>
      <c r="D60" s="155"/>
      <c r="E60" s="155"/>
      <c r="F60" s="156"/>
      <c r="G60" s="156"/>
      <c r="H60" s="157"/>
      <c r="J60" s="152"/>
      <c r="K60" s="153"/>
      <c r="L60" s="154"/>
      <c r="M60" s="155"/>
      <c r="N60" s="155"/>
      <c r="O60" s="156"/>
      <c r="P60" s="156"/>
      <c r="Q60" s="157"/>
    </row>
    <row r="61" spans="1:17" ht="15.75">
      <c r="A61" s="95"/>
      <c r="B61" s="39"/>
      <c r="C61" s="40"/>
      <c r="D61" s="135" t="s">
        <v>37</v>
      </c>
      <c r="E61" s="97"/>
      <c r="F61" s="41"/>
      <c r="G61" s="41"/>
      <c r="H61" s="98"/>
      <c r="J61" s="95"/>
      <c r="K61" s="39"/>
      <c r="L61" s="40"/>
      <c r="M61" s="135" t="s">
        <v>37</v>
      </c>
      <c r="N61" s="97"/>
      <c r="O61" s="41"/>
      <c r="P61" s="41"/>
      <c r="Q61" s="98"/>
    </row>
    <row r="62" spans="1:17" ht="15">
      <c r="A62" s="99" t="s">
        <v>121</v>
      </c>
      <c r="B62" s="100" t="s">
        <v>5</v>
      </c>
      <c r="C62" s="100" t="s">
        <v>6</v>
      </c>
      <c r="D62" s="101" t="s">
        <v>7</v>
      </c>
      <c r="E62" s="100" t="s">
        <v>8</v>
      </c>
      <c r="F62" s="102" t="s">
        <v>9</v>
      </c>
      <c r="G62" s="102" t="s">
        <v>10</v>
      </c>
      <c r="H62" s="99" t="s">
        <v>11</v>
      </c>
      <c r="J62" s="99" t="s">
        <v>121</v>
      </c>
      <c r="K62" s="100" t="s">
        <v>5</v>
      </c>
      <c r="L62" s="100" t="s">
        <v>6</v>
      </c>
      <c r="M62" s="101" t="s">
        <v>7</v>
      </c>
      <c r="N62" s="100" t="s">
        <v>8</v>
      </c>
      <c r="O62" s="102" t="s">
        <v>9</v>
      </c>
      <c r="P62" s="102" t="s">
        <v>10</v>
      </c>
      <c r="Q62" s="99" t="s">
        <v>11</v>
      </c>
    </row>
    <row r="63" spans="1:17" ht="15.75">
      <c r="A63" s="103"/>
      <c r="B63" s="104"/>
      <c r="C63" s="105"/>
      <c r="D63" s="106" t="s">
        <v>12</v>
      </c>
      <c r="E63" s="106" t="s">
        <v>13</v>
      </c>
      <c r="F63" s="109" t="s">
        <v>14</v>
      </c>
      <c r="G63" s="109" t="s">
        <v>14</v>
      </c>
      <c r="H63" s="108" t="s">
        <v>15</v>
      </c>
      <c r="J63" s="103"/>
      <c r="K63" s="104"/>
      <c r="L63" s="105"/>
      <c r="M63" s="106" t="s">
        <v>12</v>
      </c>
      <c r="N63" s="106" t="s">
        <v>13</v>
      </c>
      <c r="O63" s="127" t="s">
        <v>391</v>
      </c>
      <c r="P63" s="109" t="s">
        <v>391</v>
      </c>
      <c r="Q63" s="108" t="s">
        <v>15</v>
      </c>
    </row>
    <row r="64" spans="1:17" ht="15">
      <c r="A64" s="111">
        <v>1</v>
      </c>
      <c r="B64" s="23" t="s">
        <v>123</v>
      </c>
      <c r="C64" s="23"/>
      <c r="D64" s="42"/>
      <c r="E64" s="43">
        <v>111200</v>
      </c>
      <c r="F64" s="23">
        <v>5560000</v>
      </c>
      <c r="G64" s="22">
        <v>1112000</v>
      </c>
      <c r="H64" s="22">
        <v>100</v>
      </c>
      <c r="J64" s="111">
        <v>1</v>
      </c>
      <c r="K64" s="23" t="s">
        <v>124</v>
      </c>
      <c r="L64" s="23">
        <v>95</v>
      </c>
      <c r="M64" s="23">
        <v>138</v>
      </c>
      <c r="N64" s="43">
        <v>977987</v>
      </c>
      <c r="O64" s="23">
        <v>107568700</v>
      </c>
      <c r="P64" s="22">
        <v>189799000</v>
      </c>
      <c r="Q64" s="22">
        <v>1000</v>
      </c>
    </row>
    <row r="65" spans="1:17" ht="15">
      <c r="A65" s="111">
        <f>+A64+1</f>
        <v>2</v>
      </c>
      <c r="B65" s="23" t="s">
        <v>137</v>
      </c>
      <c r="C65" s="23">
        <v>8</v>
      </c>
      <c r="D65" s="42">
        <v>8</v>
      </c>
      <c r="E65" s="43">
        <f>G65/50</f>
        <v>14900</v>
      </c>
      <c r="F65" s="23">
        <v>2235000</v>
      </c>
      <c r="G65" s="22">
        <v>745000</v>
      </c>
      <c r="H65" s="22">
        <v>50</v>
      </c>
      <c r="J65" s="111">
        <f>+J64+1</f>
        <v>2</v>
      </c>
      <c r="K65" s="23" t="s">
        <v>137</v>
      </c>
      <c r="L65" s="23">
        <v>6</v>
      </c>
      <c r="M65" s="23">
        <v>6</v>
      </c>
      <c r="N65" s="43">
        <v>7323</v>
      </c>
      <c r="O65" s="23">
        <v>329535</v>
      </c>
      <c r="P65" s="22">
        <v>476000</v>
      </c>
      <c r="Q65" s="22">
        <v>45</v>
      </c>
    </row>
    <row r="66" spans="1:17" ht="15">
      <c r="A66" s="111">
        <f>+A65+1</f>
        <v>3</v>
      </c>
      <c r="B66" s="23" t="s">
        <v>124</v>
      </c>
      <c r="C66" s="23">
        <v>73</v>
      </c>
      <c r="D66" s="42">
        <v>70.0507</v>
      </c>
      <c r="E66" s="43">
        <v>42500</v>
      </c>
      <c r="F66" s="23">
        <v>29750000</v>
      </c>
      <c r="G66" s="22">
        <v>81478000</v>
      </c>
      <c r="H66" s="22">
        <v>1000</v>
      </c>
      <c r="J66" s="111">
        <f>+J65+1</f>
        <v>3</v>
      </c>
      <c r="K66" s="23" t="s">
        <v>125</v>
      </c>
      <c r="L66" s="23">
        <v>25</v>
      </c>
      <c r="M66" s="23">
        <v>25</v>
      </c>
      <c r="N66" s="43">
        <v>389235.28</v>
      </c>
      <c r="O66" s="23">
        <v>19461750</v>
      </c>
      <c r="P66" s="22">
        <v>6617000</v>
      </c>
      <c r="Q66" s="22">
        <v>45</v>
      </c>
    </row>
    <row r="67" spans="1:17" ht="15">
      <c r="A67" s="111">
        <f>+A66+1</f>
        <v>4</v>
      </c>
      <c r="B67" s="23" t="s">
        <v>125</v>
      </c>
      <c r="C67" s="23">
        <v>25</v>
      </c>
      <c r="D67" s="42">
        <v>25</v>
      </c>
      <c r="E67" s="43">
        <v>102900</v>
      </c>
      <c r="F67" s="23">
        <v>5145000</v>
      </c>
      <c r="G67" s="22">
        <v>1029000</v>
      </c>
      <c r="H67" s="22">
        <v>50</v>
      </c>
      <c r="J67" s="111">
        <f>+J66+1</f>
        <v>4</v>
      </c>
      <c r="K67" s="23" t="s">
        <v>123</v>
      </c>
      <c r="L67" s="23"/>
      <c r="M67" s="23"/>
      <c r="N67" s="43">
        <v>90250</v>
      </c>
      <c r="O67" s="23">
        <v>20306250</v>
      </c>
      <c r="P67" s="22">
        <v>1805000</v>
      </c>
      <c r="Q67" s="22">
        <v>90</v>
      </c>
    </row>
    <row r="68" spans="1:17" ht="15">
      <c r="A68" s="111">
        <v>5</v>
      </c>
      <c r="B68" s="23" t="s">
        <v>128</v>
      </c>
      <c r="C68" s="23"/>
      <c r="D68" s="42"/>
      <c r="E68" s="43"/>
      <c r="F68" s="23"/>
      <c r="G68" s="22">
        <v>8340000</v>
      </c>
      <c r="H68" s="22"/>
      <c r="J68" s="111">
        <v>5</v>
      </c>
      <c r="K68" s="23" t="s">
        <v>135</v>
      </c>
      <c r="L68" s="23"/>
      <c r="M68" s="23"/>
      <c r="N68" s="43">
        <v>29333</v>
      </c>
      <c r="O68" s="23">
        <v>1466650</v>
      </c>
      <c r="P68" s="22">
        <v>528000</v>
      </c>
      <c r="Q68" s="22"/>
    </row>
    <row r="69" spans="1:17" ht="15">
      <c r="A69" s="111"/>
      <c r="B69" s="23"/>
      <c r="C69" s="23"/>
      <c r="D69" s="42"/>
      <c r="E69" s="43"/>
      <c r="F69" s="23"/>
      <c r="G69" s="22"/>
      <c r="H69" s="22"/>
      <c r="J69" s="111">
        <f>+J68+1</f>
        <v>6</v>
      </c>
      <c r="K69" s="23" t="s">
        <v>128</v>
      </c>
      <c r="L69" s="23"/>
      <c r="M69" s="42"/>
      <c r="N69" s="43"/>
      <c r="O69" s="23"/>
      <c r="P69" s="22">
        <v>7733000</v>
      </c>
      <c r="Q69" s="22"/>
    </row>
    <row r="70" spans="1:17" ht="15">
      <c r="A70" s="136">
        <v>6</v>
      </c>
      <c r="B70" s="23" t="s">
        <v>41</v>
      </c>
      <c r="C70" s="23"/>
      <c r="D70" s="42"/>
      <c r="E70" s="42"/>
      <c r="F70" s="23"/>
      <c r="G70" s="22">
        <v>22532000</v>
      </c>
      <c r="H70" s="22"/>
      <c r="J70" s="111">
        <v>7</v>
      </c>
      <c r="K70" s="23" t="s">
        <v>41</v>
      </c>
      <c r="L70" s="23"/>
      <c r="M70" s="42"/>
      <c r="N70" s="43"/>
      <c r="O70" s="23"/>
      <c r="P70" s="22">
        <v>31545000</v>
      </c>
      <c r="Q70" s="22"/>
    </row>
    <row r="71" spans="1:17" ht="15.75">
      <c r="A71" s="124"/>
      <c r="B71" s="158" t="s">
        <v>129</v>
      </c>
      <c r="C71" s="159">
        <f aca="true" t="shared" si="11" ref="C71:H71">SUM(C64:C70)</f>
        <v>106</v>
      </c>
      <c r="D71" s="160">
        <f t="shared" si="11"/>
        <v>103.0507</v>
      </c>
      <c r="E71" s="159">
        <f t="shared" si="11"/>
        <v>271500</v>
      </c>
      <c r="F71" s="161">
        <f t="shared" si="11"/>
        <v>42690000</v>
      </c>
      <c r="G71" s="161">
        <f t="shared" si="11"/>
        <v>115236000</v>
      </c>
      <c r="H71" s="128">
        <f t="shared" si="11"/>
        <v>1200</v>
      </c>
      <c r="J71" s="124"/>
      <c r="K71" s="158" t="s">
        <v>129</v>
      </c>
      <c r="L71" s="159">
        <f aca="true" t="shared" si="12" ref="L71:Q71">SUM(L64:L70)</f>
        <v>126</v>
      </c>
      <c r="M71" s="160">
        <f t="shared" si="12"/>
        <v>169</v>
      </c>
      <c r="N71" s="159">
        <f t="shared" si="12"/>
        <v>1494128.28</v>
      </c>
      <c r="O71" s="161">
        <f t="shared" si="12"/>
        <v>149132885</v>
      </c>
      <c r="P71" s="161">
        <f t="shared" si="12"/>
        <v>238503000</v>
      </c>
      <c r="Q71" s="128">
        <f t="shared" si="12"/>
        <v>1180</v>
      </c>
    </row>
    <row r="72" spans="1:17" ht="13.5" customHeight="1">
      <c r="A72" s="152"/>
      <c r="B72" s="153"/>
      <c r="C72" s="154"/>
      <c r="D72" s="155"/>
      <c r="E72" s="155"/>
      <c r="F72" s="156"/>
      <c r="G72" s="156"/>
      <c r="H72" s="157"/>
      <c r="J72" s="152"/>
      <c r="K72" s="153"/>
      <c r="L72" s="154"/>
      <c r="M72" s="155"/>
      <c r="N72" s="155"/>
      <c r="O72" s="156"/>
      <c r="P72" s="156"/>
      <c r="Q72" s="157"/>
    </row>
    <row r="73" spans="1:17" ht="19.5" customHeight="1">
      <c r="A73" s="95"/>
      <c r="B73" s="39"/>
      <c r="C73" s="40"/>
      <c r="D73" s="135" t="s">
        <v>42</v>
      </c>
      <c r="E73" s="97"/>
      <c r="F73" s="41"/>
      <c r="G73" s="41"/>
      <c r="H73" s="98"/>
      <c r="J73" s="95"/>
      <c r="K73" s="39"/>
      <c r="L73" s="40"/>
      <c r="M73" s="135" t="s">
        <v>42</v>
      </c>
      <c r="N73" s="97"/>
      <c r="O73" s="41"/>
      <c r="P73" s="41"/>
      <c r="Q73" s="98"/>
    </row>
    <row r="74" spans="1:17" ht="15">
      <c r="A74" s="99" t="s">
        <v>121</v>
      </c>
      <c r="B74" s="100" t="s">
        <v>5</v>
      </c>
      <c r="C74" s="100" t="s">
        <v>6</v>
      </c>
      <c r="D74" s="101" t="s">
        <v>7</v>
      </c>
      <c r="E74" s="100" t="s">
        <v>8</v>
      </c>
      <c r="F74" s="102" t="s">
        <v>9</v>
      </c>
      <c r="G74" s="102" t="s">
        <v>10</v>
      </c>
      <c r="H74" s="99" t="s">
        <v>11</v>
      </c>
      <c r="J74" s="99" t="s">
        <v>121</v>
      </c>
      <c r="K74" s="100" t="s">
        <v>5</v>
      </c>
      <c r="L74" s="100" t="s">
        <v>6</v>
      </c>
      <c r="M74" s="101" t="s">
        <v>7</v>
      </c>
      <c r="N74" s="100" t="s">
        <v>8</v>
      </c>
      <c r="O74" s="102" t="s">
        <v>9</v>
      </c>
      <c r="P74" s="102" t="s">
        <v>10</v>
      </c>
      <c r="Q74" s="99" t="s">
        <v>11</v>
      </c>
    </row>
    <row r="75" spans="1:17" s="1" customFormat="1" ht="15">
      <c r="A75" s="162"/>
      <c r="B75" s="163"/>
      <c r="C75" s="164"/>
      <c r="D75" s="165" t="s">
        <v>12</v>
      </c>
      <c r="E75" s="165" t="s">
        <v>13</v>
      </c>
      <c r="F75" s="109" t="s">
        <v>14</v>
      </c>
      <c r="G75" s="109" t="s">
        <v>14</v>
      </c>
      <c r="H75" s="166" t="s">
        <v>15</v>
      </c>
      <c r="I75"/>
      <c r="J75" s="162"/>
      <c r="K75" s="163"/>
      <c r="L75" s="164"/>
      <c r="M75" s="165" t="s">
        <v>12</v>
      </c>
      <c r="N75" s="165" t="s">
        <v>13</v>
      </c>
      <c r="O75" s="127" t="s">
        <v>391</v>
      </c>
      <c r="P75" s="109" t="s">
        <v>391</v>
      </c>
      <c r="Q75" s="166" t="s">
        <v>15</v>
      </c>
    </row>
    <row r="76" spans="1:17" ht="15">
      <c r="A76" s="167">
        <v>1</v>
      </c>
      <c r="B76" s="23" t="s">
        <v>141</v>
      </c>
      <c r="C76" s="23">
        <v>19</v>
      </c>
      <c r="D76" s="42">
        <v>98.42</v>
      </c>
      <c r="E76" s="43">
        <v>142995</v>
      </c>
      <c r="F76" s="23">
        <v>31458900</v>
      </c>
      <c r="G76" s="22">
        <v>8044843</v>
      </c>
      <c r="H76" s="22">
        <v>250</v>
      </c>
      <c r="J76" s="167">
        <v>1</v>
      </c>
      <c r="K76" s="23" t="s">
        <v>122</v>
      </c>
      <c r="L76" s="23">
        <v>73</v>
      </c>
      <c r="M76" s="23">
        <v>186.13</v>
      </c>
      <c r="N76" s="43">
        <v>173518</v>
      </c>
      <c r="O76" s="23">
        <v>19904300</v>
      </c>
      <c r="P76" s="22">
        <v>8132363</v>
      </c>
      <c r="Q76" s="22">
        <v>415</v>
      </c>
    </row>
    <row r="77" spans="1:17" ht="15">
      <c r="A77" s="167">
        <v>2</v>
      </c>
      <c r="B77" s="23" t="s">
        <v>142</v>
      </c>
      <c r="C77" s="23">
        <v>21</v>
      </c>
      <c r="D77" s="42">
        <v>48.36</v>
      </c>
      <c r="E77" s="43">
        <v>11774</v>
      </c>
      <c r="F77" s="23">
        <v>21193200</v>
      </c>
      <c r="G77" s="22">
        <v>358433</v>
      </c>
      <c r="H77" s="22">
        <v>210</v>
      </c>
      <c r="J77" s="167">
        <v>2</v>
      </c>
      <c r="K77" s="23" t="s">
        <v>141</v>
      </c>
      <c r="L77" s="23">
        <v>28</v>
      </c>
      <c r="M77" s="23">
        <v>115.66</v>
      </c>
      <c r="N77" s="341">
        <v>170366</v>
      </c>
      <c r="O77" s="380">
        <v>170900840</v>
      </c>
      <c r="P77" s="22">
        <v>15603000</v>
      </c>
      <c r="Q77" s="22">
        <v>410</v>
      </c>
    </row>
    <row r="78" spans="1:17" ht="15.75">
      <c r="A78" s="167">
        <v>3</v>
      </c>
      <c r="B78" s="23" t="s">
        <v>140</v>
      </c>
      <c r="C78" s="23">
        <v>4</v>
      </c>
      <c r="D78" s="42">
        <v>9.2</v>
      </c>
      <c r="E78" s="43"/>
      <c r="F78" s="23" t="s">
        <v>53</v>
      </c>
      <c r="G78" s="22">
        <v>30882</v>
      </c>
      <c r="H78" s="22" t="s">
        <v>53</v>
      </c>
      <c r="J78" s="167">
        <v>3</v>
      </c>
      <c r="K78" s="23" t="s">
        <v>140</v>
      </c>
      <c r="L78" s="23">
        <v>3</v>
      </c>
      <c r="M78" s="23">
        <v>7.2</v>
      </c>
      <c r="N78" s="388"/>
      <c r="O78" s="380"/>
      <c r="P78" s="22">
        <v>415000</v>
      </c>
      <c r="Q78" s="22">
        <v>260</v>
      </c>
    </row>
    <row r="79" spans="1:17" ht="15">
      <c r="A79" s="167">
        <v>4</v>
      </c>
      <c r="B79" s="23" t="s">
        <v>143</v>
      </c>
      <c r="C79" s="23">
        <v>261</v>
      </c>
      <c r="D79" s="42">
        <v>259.39</v>
      </c>
      <c r="E79" s="43">
        <v>2684440</v>
      </c>
      <c r="F79" s="23">
        <v>483199218</v>
      </c>
      <c r="G79" s="22">
        <v>34364086</v>
      </c>
      <c r="H79" s="22">
        <v>1730</v>
      </c>
      <c r="J79" s="167">
        <v>4</v>
      </c>
      <c r="K79" s="23" t="s">
        <v>143</v>
      </c>
      <c r="L79" s="23">
        <v>293</v>
      </c>
      <c r="M79" s="23">
        <v>292.1</v>
      </c>
      <c r="N79" s="293">
        <v>1157771</v>
      </c>
      <c r="O79" s="380">
        <v>208398780</v>
      </c>
      <c r="P79" s="22">
        <v>49645137</v>
      </c>
      <c r="Q79" s="22">
        <v>1740</v>
      </c>
    </row>
    <row r="80" spans="1:17" ht="15">
      <c r="A80" s="167">
        <v>5</v>
      </c>
      <c r="B80" s="23" t="s">
        <v>122</v>
      </c>
      <c r="C80" s="23">
        <v>65</v>
      </c>
      <c r="D80" s="42">
        <v>163.98</v>
      </c>
      <c r="E80" s="43">
        <v>26708</v>
      </c>
      <c r="F80" s="23">
        <v>12686300</v>
      </c>
      <c r="G80" s="22">
        <v>3529568</v>
      </c>
      <c r="H80" s="22">
        <v>400</v>
      </c>
      <c r="J80" s="167">
        <v>5</v>
      </c>
      <c r="K80" s="23" t="s">
        <v>142</v>
      </c>
      <c r="L80" s="23">
        <v>18</v>
      </c>
      <c r="M80" s="23">
        <v>44.28</v>
      </c>
      <c r="N80" s="341">
        <v>24702</v>
      </c>
      <c r="O80" s="380">
        <v>44463600</v>
      </c>
      <c r="P80" s="22">
        <v>563000</v>
      </c>
      <c r="Q80" s="22">
        <v>1840</v>
      </c>
    </row>
    <row r="81" spans="1:17" ht="15">
      <c r="A81" s="167">
        <v>6</v>
      </c>
      <c r="B81" s="23" t="s">
        <v>123</v>
      </c>
      <c r="C81" s="23"/>
      <c r="D81" s="42" t="s">
        <v>53</v>
      </c>
      <c r="E81" s="43">
        <v>1660832</v>
      </c>
      <c r="F81" s="23">
        <v>265733120</v>
      </c>
      <c r="G81" s="22">
        <v>39324166</v>
      </c>
      <c r="H81" s="22">
        <v>1095</v>
      </c>
      <c r="J81" s="167">
        <v>6</v>
      </c>
      <c r="K81" s="23" t="s">
        <v>123</v>
      </c>
      <c r="L81" s="23">
        <v>4</v>
      </c>
      <c r="M81" s="23"/>
      <c r="N81" s="341">
        <v>4192491</v>
      </c>
      <c r="O81" s="292">
        <v>670798560</v>
      </c>
      <c r="P81" s="22">
        <v>81533449</v>
      </c>
      <c r="Q81" s="22">
        <v>215</v>
      </c>
    </row>
    <row r="82" spans="1:17" ht="15">
      <c r="A82" s="167">
        <v>7</v>
      </c>
      <c r="B82" s="23" t="s">
        <v>144</v>
      </c>
      <c r="C82" s="23" t="s">
        <v>53</v>
      </c>
      <c r="D82" s="42" t="s">
        <v>53</v>
      </c>
      <c r="E82" s="43">
        <v>542760</v>
      </c>
      <c r="F82" s="23">
        <v>86841600</v>
      </c>
      <c r="G82" s="22">
        <v>5427600</v>
      </c>
      <c r="H82" s="22">
        <v>280</v>
      </c>
      <c r="J82" s="167">
        <v>7</v>
      </c>
      <c r="K82" s="23" t="s">
        <v>144</v>
      </c>
      <c r="L82" s="23"/>
      <c r="M82" s="23"/>
      <c r="N82" s="556">
        <v>840340</v>
      </c>
      <c r="O82" s="557">
        <v>134454400</v>
      </c>
      <c r="P82" s="22">
        <v>4201699</v>
      </c>
      <c r="Q82" s="22">
        <v>2010</v>
      </c>
    </row>
    <row r="83" spans="1:17" ht="15">
      <c r="A83" s="167">
        <v>8</v>
      </c>
      <c r="B83" s="23" t="s">
        <v>145</v>
      </c>
      <c r="C83" s="23" t="s">
        <v>53</v>
      </c>
      <c r="D83" s="42" t="s">
        <v>53</v>
      </c>
      <c r="E83" s="43">
        <v>210180</v>
      </c>
      <c r="F83" s="23" t="s">
        <v>53</v>
      </c>
      <c r="G83" s="22">
        <v>420364</v>
      </c>
      <c r="H83" s="22">
        <v>85</v>
      </c>
      <c r="J83" s="167">
        <v>8</v>
      </c>
      <c r="K83" s="23" t="s">
        <v>145</v>
      </c>
      <c r="L83" s="23"/>
      <c r="M83" s="23"/>
      <c r="N83" s="341">
        <v>2083765</v>
      </c>
      <c r="O83" s="380">
        <v>125025900</v>
      </c>
      <c r="P83" s="22">
        <v>7756983</v>
      </c>
      <c r="Q83" s="22">
        <v>100</v>
      </c>
    </row>
    <row r="84" spans="1:17" ht="15">
      <c r="A84" s="167">
        <v>9</v>
      </c>
      <c r="B84" s="23" t="s">
        <v>146</v>
      </c>
      <c r="C84" s="23" t="s">
        <v>53</v>
      </c>
      <c r="D84" s="42" t="s">
        <v>53</v>
      </c>
      <c r="E84" s="43">
        <v>255700</v>
      </c>
      <c r="F84" s="23">
        <v>35798000</v>
      </c>
      <c r="G84" s="22">
        <v>2557000</v>
      </c>
      <c r="H84" s="22">
        <v>125</v>
      </c>
      <c r="J84" s="167">
        <v>9</v>
      </c>
      <c r="K84" s="23" t="s">
        <v>135</v>
      </c>
      <c r="L84" s="23"/>
      <c r="M84" s="23"/>
      <c r="N84" s="341"/>
      <c r="O84" s="380"/>
      <c r="P84" s="22">
        <v>54000</v>
      </c>
      <c r="Q84" s="22"/>
    </row>
    <row r="85" spans="1:17" ht="15">
      <c r="A85" s="167">
        <v>10</v>
      </c>
      <c r="B85" s="23" t="s">
        <v>128</v>
      </c>
      <c r="C85" s="23"/>
      <c r="D85" s="42"/>
      <c r="E85" s="43"/>
      <c r="F85" s="23"/>
      <c r="G85" s="22">
        <v>5814215</v>
      </c>
      <c r="H85" s="22"/>
      <c r="J85" s="167">
        <v>10</v>
      </c>
      <c r="K85" s="23" t="s">
        <v>128</v>
      </c>
      <c r="L85" s="23"/>
      <c r="M85" s="42"/>
      <c r="N85" s="341"/>
      <c r="O85" s="380"/>
      <c r="P85" s="22">
        <v>17922000</v>
      </c>
      <c r="Q85" s="22"/>
    </row>
    <row r="86" spans="1:17" ht="15">
      <c r="A86" s="167">
        <v>11</v>
      </c>
      <c r="B86" s="23" t="s">
        <v>41</v>
      </c>
      <c r="C86" s="23"/>
      <c r="D86" s="42"/>
      <c r="E86" s="42"/>
      <c r="F86" s="23"/>
      <c r="G86" s="22">
        <f>193422006-99871157-89243889</f>
        <v>4306960</v>
      </c>
      <c r="H86" s="22"/>
      <c r="J86" s="167">
        <v>11</v>
      </c>
      <c r="K86" s="23" t="s">
        <v>41</v>
      </c>
      <c r="L86" s="23"/>
      <c r="M86" s="42"/>
      <c r="N86" s="42"/>
      <c r="O86" s="23"/>
      <c r="P86" s="22">
        <v>156154363</v>
      </c>
      <c r="Q86" s="22"/>
    </row>
    <row r="87" spans="1:17" ht="15.75">
      <c r="A87" s="112"/>
      <c r="B87" s="113" t="s">
        <v>129</v>
      </c>
      <c r="C87" s="114">
        <f aca="true" t="shared" si="13" ref="C87:H87">SUM(C76:C86)</f>
        <v>370</v>
      </c>
      <c r="D87" s="115">
        <f t="shared" si="13"/>
        <v>579.35</v>
      </c>
      <c r="E87" s="114">
        <f t="shared" si="13"/>
        <v>5535389</v>
      </c>
      <c r="F87" s="116">
        <f t="shared" si="13"/>
        <v>936910338</v>
      </c>
      <c r="G87" s="116">
        <f t="shared" si="13"/>
        <v>104178117</v>
      </c>
      <c r="H87" s="117">
        <f t="shared" si="13"/>
        <v>4175</v>
      </c>
      <c r="J87" s="112"/>
      <c r="K87" s="113" t="s">
        <v>129</v>
      </c>
      <c r="L87" s="114">
        <f aca="true" t="shared" si="14" ref="L87:Q87">SUM(L76:L86)</f>
        <v>419</v>
      </c>
      <c r="M87" s="115">
        <f t="shared" si="14"/>
        <v>645.3699999999999</v>
      </c>
      <c r="N87" s="114">
        <f t="shared" si="14"/>
        <v>8642953</v>
      </c>
      <c r="O87" s="116">
        <f t="shared" si="14"/>
        <v>1373946380</v>
      </c>
      <c r="P87" s="116">
        <f t="shared" si="14"/>
        <v>341980994</v>
      </c>
      <c r="Q87" s="117">
        <f t="shared" si="14"/>
        <v>6990</v>
      </c>
    </row>
    <row r="88" spans="1:17" ht="9.75" customHeight="1">
      <c r="A88" s="118"/>
      <c r="B88" s="119"/>
      <c r="C88" s="49"/>
      <c r="D88" s="68"/>
      <c r="E88" s="68"/>
      <c r="F88" s="50"/>
      <c r="G88" s="50"/>
      <c r="H88" s="120"/>
      <c r="J88" s="118"/>
      <c r="K88" s="119"/>
      <c r="L88" s="49"/>
      <c r="M88" s="68"/>
      <c r="N88" s="68"/>
      <c r="O88" s="50"/>
      <c r="P88" s="50"/>
      <c r="Q88" s="120"/>
    </row>
    <row r="89" spans="1:17" ht="15.75">
      <c r="A89" s="95"/>
      <c r="B89" s="39"/>
      <c r="C89" s="40"/>
      <c r="D89" s="135" t="s">
        <v>147</v>
      </c>
      <c r="E89" s="97"/>
      <c r="F89" s="41"/>
      <c r="G89" s="41"/>
      <c r="H89" s="98"/>
      <c r="J89" s="95"/>
      <c r="K89" s="39"/>
      <c r="L89" s="40"/>
      <c r="M89" s="135" t="s">
        <v>147</v>
      </c>
      <c r="N89" s="97"/>
      <c r="O89" s="41"/>
      <c r="P89" s="41"/>
      <c r="Q89" s="98"/>
    </row>
    <row r="90" spans="1:17" ht="15">
      <c r="A90" s="99" t="s">
        <v>121</v>
      </c>
      <c r="B90" s="100" t="s">
        <v>5</v>
      </c>
      <c r="C90" s="100" t="s">
        <v>6</v>
      </c>
      <c r="D90" s="101" t="s">
        <v>7</v>
      </c>
      <c r="E90" s="100" t="s">
        <v>8</v>
      </c>
      <c r="F90" s="102" t="s">
        <v>9</v>
      </c>
      <c r="G90" s="102" t="s">
        <v>10</v>
      </c>
      <c r="H90" s="99" t="s">
        <v>11</v>
      </c>
      <c r="J90" s="99" t="s">
        <v>121</v>
      </c>
      <c r="K90" s="100" t="s">
        <v>5</v>
      </c>
      <c r="L90" s="100" t="s">
        <v>6</v>
      </c>
      <c r="M90" s="101" t="s">
        <v>7</v>
      </c>
      <c r="N90" s="100" t="s">
        <v>8</v>
      </c>
      <c r="O90" s="102" t="s">
        <v>9</v>
      </c>
      <c r="P90" s="102" t="s">
        <v>10</v>
      </c>
      <c r="Q90" s="99" t="s">
        <v>11</v>
      </c>
    </row>
    <row r="91" spans="1:17" s="63" customFormat="1" ht="15">
      <c r="A91" s="168"/>
      <c r="B91" s="163"/>
      <c r="C91" s="169"/>
      <c r="D91" s="170" t="s">
        <v>12</v>
      </c>
      <c r="E91" s="170" t="s">
        <v>13</v>
      </c>
      <c r="F91" s="109" t="s">
        <v>14</v>
      </c>
      <c r="G91" s="109" t="s">
        <v>14</v>
      </c>
      <c r="H91" s="166" t="s">
        <v>15</v>
      </c>
      <c r="I91"/>
      <c r="J91" s="168"/>
      <c r="K91" s="163"/>
      <c r="L91" s="169"/>
      <c r="M91" s="170" t="s">
        <v>12</v>
      </c>
      <c r="N91" s="170" t="s">
        <v>13</v>
      </c>
      <c r="O91" s="127" t="s">
        <v>391</v>
      </c>
      <c r="P91" s="109" t="s">
        <v>391</v>
      </c>
      <c r="Q91" s="166" t="s">
        <v>15</v>
      </c>
    </row>
    <row r="92" spans="1:17" ht="15">
      <c r="A92" s="110">
        <v>1</v>
      </c>
      <c r="B92" s="23" t="s">
        <v>123</v>
      </c>
      <c r="C92" s="23"/>
      <c r="D92" s="42"/>
      <c r="E92" s="43">
        <v>49013</v>
      </c>
      <c r="F92" s="23">
        <v>9802600</v>
      </c>
      <c r="G92" s="22">
        <v>2725267</v>
      </c>
      <c r="H92" s="22">
        <v>1000</v>
      </c>
      <c r="J92" s="110">
        <v>1</v>
      </c>
      <c r="K92" s="23" t="s">
        <v>140</v>
      </c>
      <c r="L92" s="23"/>
      <c r="M92" s="23"/>
      <c r="N92" s="375">
        <v>2890000</v>
      </c>
      <c r="O92" s="366">
        <v>2023000000</v>
      </c>
      <c r="P92" s="22">
        <v>294162000</v>
      </c>
      <c r="Q92" s="22">
        <v>12000</v>
      </c>
    </row>
    <row r="93" spans="1:17" ht="15">
      <c r="A93" s="111">
        <f>+A92+1</f>
        <v>2</v>
      </c>
      <c r="B93" s="23" t="s">
        <v>125</v>
      </c>
      <c r="C93" s="23">
        <v>2</v>
      </c>
      <c r="D93" s="42">
        <v>2</v>
      </c>
      <c r="E93" s="43">
        <v>3233</v>
      </c>
      <c r="F93" s="23">
        <v>161650</v>
      </c>
      <c r="G93" s="22">
        <v>90250</v>
      </c>
      <c r="H93" s="22">
        <v>644</v>
      </c>
      <c r="J93" s="111">
        <f>+J92+1</f>
        <v>2</v>
      </c>
      <c r="K93" s="23" t="s">
        <v>125</v>
      </c>
      <c r="L93" s="23">
        <v>2</v>
      </c>
      <c r="M93" s="23">
        <v>2</v>
      </c>
      <c r="N93" s="43">
        <v>280</v>
      </c>
      <c r="O93" s="23">
        <v>14000</v>
      </c>
      <c r="P93" s="22">
        <v>200000</v>
      </c>
      <c r="Q93" s="22">
        <v>50</v>
      </c>
    </row>
    <row r="94" spans="1:17" ht="15">
      <c r="A94" s="111">
        <f>+A93+1</f>
        <v>3</v>
      </c>
      <c r="B94" s="23" t="s">
        <v>148</v>
      </c>
      <c r="C94" s="23"/>
      <c r="D94" s="42"/>
      <c r="E94" s="43">
        <v>3562480</v>
      </c>
      <c r="F94" s="23">
        <v>356248000</v>
      </c>
      <c r="G94" s="22">
        <v>5388273</v>
      </c>
      <c r="H94" s="22">
        <v>100</v>
      </c>
      <c r="J94" s="171">
        <v>4</v>
      </c>
      <c r="K94" s="23" t="s">
        <v>123</v>
      </c>
      <c r="L94" s="23"/>
      <c r="M94" s="23"/>
      <c r="N94" s="43">
        <v>966374</v>
      </c>
      <c r="O94" s="23">
        <v>193274800</v>
      </c>
      <c r="P94" s="22">
        <v>14496000</v>
      </c>
      <c r="Q94" s="22">
        <v>700</v>
      </c>
    </row>
    <row r="95" spans="1:17" ht="15">
      <c r="A95" s="171">
        <v>4</v>
      </c>
      <c r="B95" s="23" t="s">
        <v>140</v>
      </c>
      <c r="C95" s="23"/>
      <c r="D95" s="42"/>
      <c r="E95" s="43">
        <v>2071196</v>
      </c>
      <c r="F95" s="23">
        <v>1449837200</v>
      </c>
      <c r="G95" s="22">
        <v>164593527</v>
      </c>
      <c r="H95" s="22">
        <v>10000</v>
      </c>
      <c r="J95" s="111">
        <f>+J93+1</f>
        <v>3</v>
      </c>
      <c r="K95" s="23" t="s">
        <v>128</v>
      </c>
      <c r="L95" s="23"/>
      <c r="M95" s="23"/>
      <c r="N95" s="43"/>
      <c r="O95" s="23"/>
      <c r="P95" s="22">
        <v>7246000</v>
      </c>
      <c r="Q95" s="22"/>
    </row>
    <row r="96" spans="1:17" ht="15">
      <c r="A96" s="171"/>
      <c r="B96" s="23"/>
      <c r="C96" s="23"/>
      <c r="D96" s="42"/>
      <c r="E96" s="43"/>
      <c r="F96" s="23"/>
      <c r="G96" s="22"/>
      <c r="H96" s="22"/>
      <c r="J96" s="171">
        <v>5</v>
      </c>
      <c r="K96" s="23" t="s">
        <v>41</v>
      </c>
      <c r="L96" s="23"/>
      <c r="M96" s="23"/>
      <c r="N96" s="43"/>
      <c r="O96" s="23"/>
      <c r="P96" s="22">
        <v>9731000</v>
      </c>
      <c r="Q96" s="22"/>
    </row>
    <row r="97" spans="1:17" ht="15.75">
      <c r="A97" s="112"/>
      <c r="B97" s="113" t="s">
        <v>129</v>
      </c>
      <c r="C97" s="114">
        <f aca="true" t="shared" si="15" ref="C97:H97">SUM(C92:C95)</f>
        <v>2</v>
      </c>
      <c r="D97" s="115">
        <f t="shared" si="15"/>
        <v>2</v>
      </c>
      <c r="E97" s="114">
        <f t="shared" si="15"/>
        <v>5685922</v>
      </c>
      <c r="F97" s="116">
        <f t="shared" si="15"/>
        <v>1816049450</v>
      </c>
      <c r="G97" s="116">
        <f t="shared" si="15"/>
        <v>172797317</v>
      </c>
      <c r="H97" s="117">
        <f t="shared" si="15"/>
        <v>11744</v>
      </c>
      <c r="J97" s="112"/>
      <c r="K97" s="113" t="s">
        <v>129</v>
      </c>
      <c r="L97" s="114">
        <f>SUM(L92:L94)</f>
        <v>2</v>
      </c>
      <c r="M97" s="115">
        <f>SUM(M92:M94)</f>
        <v>2</v>
      </c>
      <c r="N97" s="114">
        <f>SUM(N92:N94)</f>
        <v>3856654</v>
      </c>
      <c r="O97" s="116">
        <f>SUM(O92:O94)</f>
        <v>2216288800</v>
      </c>
      <c r="P97" s="116">
        <f>SUM(P92:P96)</f>
        <v>325835000</v>
      </c>
      <c r="Q97" s="116">
        <f>SUM(Q92:Q96)</f>
        <v>12750</v>
      </c>
    </row>
    <row r="98" spans="1:17" ht="13.5" customHeight="1">
      <c r="A98" s="118"/>
      <c r="B98" s="119"/>
      <c r="C98" s="49"/>
      <c r="D98" s="68"/>
      <c r="E98" s="49"/>
      <c r="F98" s="50"/>
      <c r="G98" s="50"/>
      <c r="H98" s="120"/>
      <c r="J98" s="118"/>
      <c r="K98" s="119"/>
      <c r="L98" s="49"/>
      <c r="M98" s="68"/>
      <c r="N98" s="49"/>
      <c r="O98" s="50"/>
      <c r="P98" s="50"/>
      <c r="Q98" s="120"/>
    </row>
    <row r="99" spans="1:17" ht="15.75">
      <c r="A99" s="95"/>
      <c r="B99" s="39"/>
      <c r="C99" s="40"/>
      <c r="D99" s="135" t="s">
        <v>49</v>
      </c>
      <c r="E99" s="97"/>
      <c r="F99" s="41"/>
      <c r="G99" s="41"/>
      <c r="H99" s="98"/>
      <c r="J99" s="95"/>
      <c r="K99" s="39"/>
      <c r="L99" s="40"/>
      <c r="M99" s="135" t="s">
        <v>49</v>
      </c>
      <c r="N99" s="97"/>
      <c r="O99" s="41"/>
      <c r="P99" s="41"/>
      <c r="Q99" s="98"/>
    </row>
    <row r="100" spans="1:17" ht="15">
      <c r="A100" s="99" t="s">
        <v>121</v>
      </c>
      <c r="B100" s="100" t="s">
        <v>5</v>
      </c>
      <c r="C100" s="100" t="s">
        <v>6</v>
      </c>
      <c r="D100" s="101" t="s">
        <v>7</v>
      </c>
      <c r="E100" s="100" t="s">
        <v>8</v>
      </c>
      <c r="F100" s="102" t="s">
        <v>9</v>
      </c>
      <c r="G100" s="102" t="s">
        <v>10</v>
      </c>
      <c r="H100" s="99" t="s">
        <v>11</v>
      </c>
      <c r="J100" s="99" t="s">
        <v>121</v>
      </c>
      <c r="K100" s="100" t="s">
        <v>5</v>
      </c>
      <c r="L100" s="100" t="s">
        <v>6</v>
      </c>
      <c r="M100" s="101" t="s">
        <v>7</v>
      </c>
      <c r="N100" s="100" t="s">
        <v>8</v>
      </c>
      <c r="O100" s="102" t="s">
        <v>9</v>
      </c>
      <c r="P100" s="102" t="s">
        <v>10</v>
      </c>
      <c r="Q100" s="99" t="s">
        <v>11</v>
      </c>
    </row>
    <row r="101" spans="1:17" ht="15.75">
      <c r="A101" s="103"/>
      <c r="B101" s="104"/>
      <c r="C101" s="105"/>
      <c r="D101" s="106" t="s">
        <v>12</v>
      </c>
      <c r="E101" s="106" t="s">
        <v>13</v>
      </c>
      <c r="F101" s="109" t="s">
        <v>14</v>
      </c>
      <c r="G101" s="109" t="s">
        <v>14</v>
      </c>
      <c r="H101" s="108" t="s">
        <v>15</v>
      </c>
      <c r="J101" s="103"/>
      <c r="K101" s="104"/>
      <c r="L101" s="105"/>
      <c r="M101" s="106" t="s">
        <v>12</v>
      </c>
      <c r="N101" s="106" t="s">
        <v>13</v>
      </c>
      <c r="O101" s="127" t="s">
        <v>391</v>
      </c>
      <c r="P101" s="109" t="s">
        <v>391</v>
      </c>
      <c r="Q101" s="108" t="s">
        <v>15</v>
      </c>
    </row>
    <row r="102" spans="1:17" s="173" customFormat="1" ht="15">
      <c r="A102" s="167">
        <v>1</v>
      </c>
      <c r="B102" s="23" t="s">
        <v>140</v>
      </c>
      <c r="C102" s="23">
        <v>50</v>
      </c>
      <c r="D102" s="42">
        <v>2270.04</v>
      </c>
      <c r="E102" s="43">
        <v>479200</v>
      </c>
      <c r="F102" s="23">
        <v>239599830</v>
      </c>
      <c r="G102" s="22">
        <v>2395983</v>
      </c>
      <c r="H102" s="22">
        <v>1036</v>
      </c>
      <c r="I102" s="172"/>
      <c r="J102" s="167">
        <v>1</v>
      </c>
      <c r="K102" s="23" t="s">
        <v>140</v>
      </c>
      <c r="L102" s="51">
        <v>39</v>
      </c>
      <c r="M102" s="55">
        <v>1703.03</v>
      </c>
      <c r="N102" s="74">
        <v>42161.43</v>
      </c>
      <c r="O102" s="292">
        <v>6324215</v>
      </c>
      <c r="P102" s="22">
        <v>4848565</v>
      </c>
      <c r="Q102" s="22">
        <v>320</v>
      </c>
    </row>
    <row r="103" spans="1:17" s="173" customFormat="1" ht="15">
      <c r="A103" s="167">
        <v>2</v>
      </c>
      <c r="B103" s="23" t="s">
        <v>149</v>
      </c>
      <c r="C103" s="23">
        <v>1</v>
      </c>
      <c r="D103" s="42">
        <v>2</v>
      </c>
      <c r="E103" s="43">
        <v>948</v>
      </c>
      <c r="F103" s="23">
        <v>284400</v>
      </c>
      <c r="G103" s="22">
        <v>47400</v>
      </c>
      <c r="H103" s="22">
        <v>38</v>
      </c>
      <c r="I103" s="172"/>
      <c r="J103" s="167">
        <v>2</v>
      </c>
      <c r="K103" s="23" t="s">
        <v>149</v>
      </c>
      <c r="L103" s="51">
        <v>1</v>
      </c>
      <c r="M103" s="51">
        <v>2</v>
      </c>
      <c r="N103" s="74">
        <v>494.08</v>
      </c>
      <c r="O103" s="292">
        <v>69172</v>
      </c>
      <c r="P103" s="22">
        <v>56820</v>
      </c>
      <c r="Q103" s="22">
        <v>30</v>
      </c>
    </row>
    <row r="104" spans="1:17" s="173" customFormat="1" ht="15">
      <c r="A104" s="167">
        <v>3</v>
      </c>
      <c r="B104" s="23" t="s">
        <v>136</v>
      </c>
      <c r="C104" s="23">
        <v>2</v>
      </c>
      <c r="D104" s="42">
        <v>1.46</v>
      </c>
      <c r="E104" s="43">
        <v>3471</v>
      </c>
      <c r="F104" s="23">
        <v>1735700</v>
      </c>
      <c r="G104" s="22">
        <v>173570</v>
      </c>
      <c r="H104" s="22">
        <v>13</v>
      </c>
      <c r="I104" s="172"/>
      <c r="J104" s="167">
        <v>3</v>
      </c>
      <c r="K104" s="23" t="s">
        <v>136</v>
      </c>
      <c r="L104" s="51">
        <v>1</v>
      </c>
      <c r="M104" s="51">
        <v>0.71</v>
      </c>
      <c r="N104" s="74">
        <v>618</v>
      </c>
      <c r="O104" s="292">
        <v>83430</v>
      </c>
      <c r="P104" s="22">
        <v>37100</v>
      </c>
      <c r="Q104" s="22">
        <v>21</v>
      </c>
    </row>
    <row r="105" spans="1:17" s="173" customFormat="1" ht="15">
      <c r="A105" s="167">
        <v>4</v>
      </c>
      <c r="B105" s="23" t="s">
        <v>125</v>
      </c>
      <c r="C105" s="23">
        <v>433</v>
      </c>
      <c r="D105" s="42">
        <v>834.734</v>
      </c>
      <c r="E105" s="43">
        <v>5814472.75</v>
      </c>
      <c r="F105" s="23">
        <v>290723640</v>
      </c>
      <c r="G105" s="22">
        <v>75588146</v>
      </c>
      <c r="H105" s="22">
        <v>11227</v>
      </c>
      <c r="I105" s="172"/>
      <c r="J105" s="167">
        <v>4</v>
      </c>
      <c r="K105" s="23" t="s">
        <v>125</v>
      </c>
      <c r="L105" s="51">
        <v>699</v>
      </c>
      <c r="M105" s="55">
        <v>710.38</v>
      </c>
      <c r="N105" s="74">
        <v>16498282</v>
      </c>
      <c r="O105" s="292">
        <v>2062285250</v>
      </c>
      <c r="P105" s="22">
        <v>362961196</v>
      </c>
      <c r="Q105" s="22">
        <v>6707</v>
      </c>
    </row>
    <row r="106" spans="1:17" s="173" customFormat="1" ht="15">
      <c r="A106" s="167">
        <v>5</v>
      </c>
      <c r="B106" s="23" t="s">
        <v>135</v>
      </c>
      <c r="C106" s="23"/>
      <c r="D106" s="42" t="s">
        <v>150</v>
      </c>
      <c r="E106" s="43">
        <v>471105.12</v>
      </c>
      <c r="F106" s="23">
        <v>235552560</v>
      </c>
      <c r="G106" s="22">
        <v>7537682</v>
      </c>
      <c r="H106" s="22" t="s">
        <v>150</v>
      </c>
      <c r="I106" s="172"/>
      <c r="J106" s="167">
        <v>5</v>
      </c>
      <c r="K106" s="23" t="s">
        <v>135</v>
      </c>
      <c r="L106" s="23"/>
      <c r="M106" s="42"/>
      <c r="N106" s="74">
        <v>1489702.5</v>
      </c>
      <c r="O106" s="292">
        <v>26814645</v>
      </c>
      <c r="P106" s="22">
        <v>26814645</v>
      </c>
      <c r="Q106" s="22">
        <v>1000</v>
      </c>
    </row>
    <row r="107" spans="1:17" s="173" customFormat="1" ht="15">
      <c r="A107" s="167">
        <v>6</v>
      </c>
      <c r="B107" s="23" t="s">
        <v>123</v>
      </c>
      <c r="C107" s="23" t="s">
        <v>150</v>
      </c>
      <c r="D107" s="42" t="s">
        <v>150</v>
      </c>
      <c r="E107" s="43">
        <v>27939.15</v>
      </c>
      <c r="F107" s="23">
        <v>1397250</v>
      </c>
      <c r="G107" s="22">
        <v>363209</v>
      </c>
      <c r="H107" s="22" t="s">
        <v>150</v>
      </c>
      <c r="I107" s="172"/>
      <c r="J107" s="167">
        <v>6</v>
      </c>
      <c r="K107" s="23" t="s">
        <v>123</v>
      </c>
      <c r="L107" s="23"/>
      <c r="M107" s="42"/>
      <c r="N107" s="74">
        <v>18921</v>
      </c>
      <c r="O107" s="292">
        <v>473025</v>
      </c>
      <c r="P107" s="22">
        <v>473025</v>
      </c>
      <c r="Q107" s="22">
        <v>100</v>
      </c>
    </row>
    <row r="108" spans="1:17" s="173" customFormat="1" ht="15">
      <c r="A108" s="167"/>
      <c r="B108" s="23"/>
      <c r="C108" s="23"/>
      <c r="D108" s="42"/>
      <c r="E108" s="43"/>
      <c r="F108" s="23"/>
      <c r="G108" s="22"/>
      <c r="H108" s="22"/>
      <c r="I108"/>
      <c r="J108" s="167">
        <v>7</v>
      </c>
      <c r="K108" s="23" t="s">
        <v>128</v>
      </c>
      <c r="L108" s="23"/>
      <c r="M108" s="42"/>
      <c r="N108" s="74"/>
      <c r="O108" s="292"/>
      <c r="P108" s="22">
        <v>17394266</v>
      </c>
      <c r="Q108" s="22"/>
    </row>
    <row r="109" spans="1:17" ht="15">
      <c r="A109" s="167">
        <v>7</v>
      </c>
      <c r="B109" s="23" t="s">
        <v>41</v>
      </c>
      <c r="C109" s="23"/>
      <c r="D109" s="42"/>
      <c r="E109" s="43"/>
      <c r="F109" s="23"/>
      <c r="G109" s="22">
        <f>6561927+6608000</f>
        <v>13169927</v>
      </c>
      <c r="H109" s="22"/>
      <c r="J109" s="167">
        <v>8</v>
      </c>
      <c r="K109" s="23" t="s">
        <v>41</v>
      </c>
      <c r="L109" s="23"/>
      <c r="M109" s="42"/>
      <c r="N109" s="43"/>
      <c r="O109" s="292"/>
      <c r="P109" s="22">
        <v>35236677</v>
      </c>
      <c r="Q109" s="22"/>
    </row>
    <row r="110" spans="1:17" ht="15.75">
      <c r="A110" s="124"/>
      <c r="B110" s="158" t="s">
        <v>129</v>
      </c>
      <c r="C110" s="159">
        <f aca="true" t="shared" si="16" ref="C110:H110">SUM(C102:C109)</f>
        <v>486</v>
      </c>
      <c r="D110" s="160">
        <f t="shared" si="16"/>
        <v>3108.234</v>
      </c>
      <c r="E110" s="159">
        <f t="shared" si="16"/>
        <v>6797136.0200000005</v>
      </c>
      <c r="F110" s="161">
        <f t="shared" si="16"/>
        <v>769293380</v>
      </c>
      <c r="G110" s="161">
        <f t="shared" si="16"/>
        <v>99275917</v>
      </c>
      <c r="H110" s="128">
        <f t="shared" si="16"/>
        <v>12314</v>
      </c>
      <c r="J110" s="124"/>
      <c r="K110" s="158" t="s">
        <v>129</v>
      </c>
      <c r="L110" s="159">
        <f aca="true" t="shared" si="17" ref="L110:Q110">SUM(L102:L109)</f>
        <v>740</v>
      </c>
      <c r="M110" s="160">
        <f t="shared" si="17"/>
        <v>2416.12</v>
      </c>
      <c r="N110" s="159">
        <f t="shared" si="17"/>
        <v>18050179.009999998</v>
      </c>
      <c r="O110" s="161">
        <f t="shared" si="17"/>
        <v>2096049737</v>
      </c>
      <c r="P110" s="161">
        <f t="shared" si="17"/>
        <v>447822294</v>
      </c>
      <c r="Q110" s="570">
        <f t="shared" si="17"/>
        <v>8178</v>
      </c>
    </row>
    <row r="111" spans="1:17" ht="13.5" customHeight="1">
      <c r="A111" s="152"/>
      <c r="B111" s="153"/>
      <c r="C111" s="154"/>
      <c r="D111" s="155"/>
      <c r="E111" s="155"/>
      <c r="F111" s="156"/>
      <c r="G111" s="156"/>
      <c r="H111" s="157"/>
      <c r="J111" s="152"/>
      <c r="K111" s="153"/>
      <c r="L111" s="154"/>
      <c r="M111" s="155"/>
      <c r="N111" s="155"/>
      <c r="O111" s="156"/>
      <c r="P111" s="156"/>
      <c r="Q111" s="157"/>
    </row>
    <row r="112" spans="1:17" ht="18.75" customHeight="1">
      <c r="A112" s="95"/>
      <c r="B112" s="39"/>
      <c r="C112" s="40"/>
      <c r="D112" s="135" t="s">
        <v>54</v>
      </c>
      <c r="E112" s="97"/>
      <c r="F112" s="41"/>
      <c r="G112" s="41"/>
      <c r="H112" s="98"/>
      <c r="J112" s="95"/>
      <c r="K112" s="39"/>
      <c r="L112" s="40"/>
      <c r="M112" s="135" t="s">
        <v>54</v>
      </c>
      <c r="N112" s="97"/>
      <c r="O112" s="41"/>
      <c r="P112" s="41"/>
      <c r="Q112" s="98"/>
    </row>
    <row r="113" spans="1:17" ht="15">
      <c r="A113" s="99" t="s">
        <v>121</v>
      </c>
      <c r="B113" s="100" t="s">
        <v>5</v>
      </c>
      <c r="C113" s="100" t="s">
        <v>6</v>
      </c>
      <c r="D113" s="101" t="s">
        <v>7</v>
      </c>
      <c r="E113" s="100" t="s">
        <v>8</v>
      </c>
      <c r="F113" s="102" t="s">
        <v>9</v>
      </c>
      <c r="G113" s="102" t="s">
        <v>10</v>
      </c>
      <c r="H113" s="99" t="s">
        <v>11</v>
      </c>
      <c r="J113" s="99" t="s">
        <v>121</v>
      </c>
      <c r="K113" s="100" t="s">
        <v>5</v>
      </c>
      <c r="L113" s="100" t="s">
        <v>6</v>
      </c>
      <c r="M113" s="101" t="s">
        <v>7</v>
      </c>
      <c r="N113" s="100" t="s">
        <v>8</v>
      </c>
      <c r="O113" s="102" t="s">
        <v>9</v>
      </c>
      <c r="P113" s="102" t="s">
        <v>10</v>
      </c>
      <c r="Q113" s="99" t="s">
        <v>11</v>
      </c>
    </row>
    <row r="114" spans="1:17" ht="15.75">
      <c r="A114" s="103"/>
      <c r="B114" s="104"/>
      <c r="C114" s="105"/>
      <c r="D114" s="106" t="s">
        <v>12</v>
      </c>
      <c r="E114" s="106" t="s">
        <v>13</v>
      </c>
      <c r="F114" s="109" t="s">
        <v>14</v>
      </c>
      <c r="G114" s="109" t="s">
        <v>14</v>
      </c>
      <c r="H114" s="108" t="s">
        <v>15</v>
      </c>
      <c r="J114" s="103"/>
      <c r="K114" s="104"/>
      <c r="L114" s="105"/>
      <c r="M114" s="106" t="s">
        <v>12</v>
      </c>
      <c r="N114" s="106" t="s">
        <v>13</v>
      </c>
      <c r="O114" s="127" t="s">
        <v>391</v>
      </c>
      <c r="P114" s="109" t="s">
        <v>391</v>
      </c>
      <c r="Q114" s="108" t="s">
        <v>15</v>
      </c>
    </row>
    <row r="115" spans="1:17" ht="15">
      <c r="A115" s="111">
        <v>1</v>
      </c>
      <c r="B115" s="23" t="s">
        <v>125</v>
      </c>
      <c r="C115" s="23">
        <v>112</v>
      </c>
      <c r="D115" s="42">
        <v>110.685</v>
      </c>
      <c r="E115" s="43">
        <v>1442020</v>
      </c>
      <c r="F115" s="23">
        <v>216303000</v>
      </c>
      <c r="G115" s="22">
        <v>17412509</v>
      </c>
      <c r="H115" s="22">
        <v>1288</v>
      </c>
      <c r="J115" s="111">
        <v>1</v>
      </c>
      <c r="K115" s="23" t="s">
        <v>125</v>
      </c>
      <c r="L115" s="23">
        <v>154</v>
      </c>
      <c r="M115" s="42">
        <v>154.685</v>
      </c>
      <c r="N115" s="43">
        <v>1624341</v>
      </c>
      <c r="O115" s="23">
        <v>324868200</v>
      </c>
      <c r="P115" s="22">
        <v>26230835</v>
      </c>
      <c r="Q115" s="22">
        <v>2368</v>
      </c>
    </row>
    <row r="116" spans="1:17" ht="15">
      <c r="A116" s="111">
        <v>2</v>
      </c>
      <c r="B116" s="23" t="s">
        <v>124</v>
      </c>
      <c r="C116" s="23">
        <v>21</v>
      </c>
      <c r="D116" s="42">
        <v>64.9</v>
      </c>
      <c r="E116" s="43">
        <v>8170</v>
      </c>
      <c r="F116" s="23">
        <v>7235000</v>
      </c>
      <c r="G116" s="22">
        <v>2286464</v>
      </c>
      <c r="H116" s="22">
        <v>160</v>
      </c>
      <c r="J116" s="111">
        <v>2</v>
      </c>
      <c r="K116" s="23" t="s">
        <v>124</v>
      </c>
      <c r="L116" s="23">
        <v>24</v>
      </c>
      <c r="M116" s="42">
        <v>47.8</v>
      </c>
      <c r="N116" s="43">
        <v>15500</v>
      </c>
      <c r="O116" s="23">
        <v>15600000</v>
      </c>
      <c r="P116" s="22">
        <v>2557037</v>
      </c>
      <c r="Q116" s="22">
        <v>180</v>
      </c>
    </row>
    <row r="117" spans="1:17" ht="15">
      <c r="A117" s="111">
        <v>3</v>
      </c>
      <c r="B117" s="23" t="s">
        <v>122</v>
      </c>
      <c r="C117" s="23">
        <v>25</v>
      </c>
      <c r="D117" s="42">
        <v>68.551</v>
      </c>
      <c r="E117" s="43">
        <v>3470</v>
      </c>
      <c r="F117" s="23">
        <v>3295000</v>
      </c>
      <c r="G117" s="22">
        <v>1908408</v>
      </c>
      <c r="H117" s="22">
        <v>118</v>
      </c>
      <c r="J117" s="111">
        <v>3</v>
      </c>
      <c r="K117" s="23" t="s">
        <v>122</v>
      </c>
      <c r="L117" s="23">
        <v>73</v>
      </c>
      <c r="M117" s="42">
        <v>209.35</v>
      </c>
      <c r="N117" s="43">
        <v>61000</v>
      </c>
      <c r="O117" s="23">
        <v>90600000</v>
      </c>
      <c r="P117" s="22">
        <v>37632129</v>
      </c>
      <c r="Q117" s="22">
        <v>458</v>
      </c>
    </row>
    <row r="118" spans="1:17" ht="15">
      <c r="A118" s="111">
        <v>4</v>
      </c>
      <c r="B118" s="23" t="s">
        <v>137</v>
      </c>
      <c r="C118" s="23">
        <v>5</v>
      </c>
      <c r="D118" s="42">
        <v>4.06</v>
      </c>
      <c r="E118" s="43">
        <v>3800</v>
      </c>
      <c r="F118" s="23">
        <v>570000</v>
      </c>
      <c r="G118" s="22">
        <v>3081893</v>
      </c>
      <c r="H118" s="22">
        <v>35</v>
      </c>
      <c r="J118" s="111">
        <v>4</v>
      </c>
      <c r="K118" s="23" t="s">
        <v>137</v>
      </c>
      <c r="L118" s="23">
        <v>5</v>
      </c>
      <c r="M118" s="42">
        <v>4.56</v>
      </c>
      <c r="N118" s="43">
        <v>6700</v>
      </c>
      <c r="O118" s="23">
        <v>1340000</v>
      </c>
      <c r="P118" s="22">
        <v>448000</v>
      </c>
      <c r="Q118" s="22">
        <v>35</v>
      </c>
    </row>
    <row r="119" spans="1:17" ht="15">
      <c r="A119" s="111">
        <v>5</v>
      </c>
      <c r="B119" s="23" t="s">
        <v>151</v>
      </c>
      <c r="C119" s="23">
        <v>7</v>
      </c>
      <c r="D119" s="42">
        <v>8.82</v>
      </c>
      <c r="E119" s="43">
        <v>1458</v>
      </c>
      <c r="F119" s="23">
        <v>729000</v>
      </c>
      <c r="G119" s="22">
        <v>172702</v>
      </c>
      <c r="H119" s="22">
        <v>25</v>
      </c>
      <c r="J119" s="111">
        <v>5</v>
      </c>
      <c r="K119" s="23" t="s">
        <v>151</v>
      </c>
      <c r="L119" s="23">
        <v>5</v>
      </c>
      <c r="M119" s="42">
        <v>4.82</v>
      </c>
      <c r="N119" s="43">
        <v>500</v>
      </c>
      <c r="O119" s="23">
        <v>300000</v>
      </c>
      <c r="P119" s="22">
        <v>145825</v>
      </c>
      <c r="Q119" s="22">
        <v>28</v>
      </c>
    </row>
    <row r="120" spans="1:17" ht="15">
      <c r="A120" s="111">
        <v>6</v>
      </c>
      <c r="B120" s="23" t="s">
        <v>142</v>
      </c>
      <c r="C120" s="23">
        <v>1</v>
      </c>
      <c r="D120" s="42">
        <v>1</v>
      </c>
      <c r="E120" s="43">
        <v>0</v>
      </c>
      <c r="F120" s="23">
        <v>0</v>
      </c>
      <c r="G120" s="22">
        <v>8410</v>
      </c>
      <c r="H120" s="22">
        <v>8</v>
      </c>
      <c r="J120" s="111">
        <v>6</v>
      </c>
      <c r="K120" s="23" t="s">
        <v>152</v>
      </c>
      <c r="L120" s="23">
        <v>1</v>
      </c>
      <c r="M120" s="42">
        <v>1</v>
      </c>
      <c r="N120" s="43"/>
      <c r="O120" s="23"/>
      <c r="P120" s="22">
        <v>5500</v>
      </c>
      <c r="Q120" s="22"/>
    </row>
    <row r="121" spans="1:17" ht="15">
      <c r="A121" s="111">
        <v>7</v>
      </c>
      <c r="B121" s="23" t="s">
        <v>135</v>
      </c>
      <c r="C121" s="23"/>
      <c r="D121" s="42"/>
      <c r="E121" s="43">
        <v>165580</v>
      </c>
      <c r="F121" s="23">
        <v>16558000</v>
      </c>
      <c r="G121" s="22">
        <v>1651397</v>
      </c>
      <c r="H121" s="22">
        <v>618</v>
      </c>
      <c r="J121" s="111">
        <v>7</v>
      </c>
      <c r="K121" s="23" t="s">
        <v>135</v>
      </c>
      <c r="L121" s="23"/>
      <c r="M121" s="42"/>
      <c r="N121" s="43">
        <v>1294874</v>
      </c>
      <c r="O121" s="23">
        <v>258974800</v>
      </c>
      <c r="P121" s="22">
        <v>6473118</v>
      </c>
      <c r="Q121" s="22">
        <v>1210</v>
      </c>
    </row>
    <row r="122" spans="1:17" ht="15">
      <c r="A122" s="111">
        <v>8</v>
      </c>
      <c r="B122" s="23" t="s">
        <v>123</v>
      </c>
      <c r="C122" s="23"/>
      <c r="D122" s="42"/>
      <c r="E122" s="43">
        <v>3985813</v>
      </c>
      <c r="F122" s="23">
        <v>597871950</v>
      </c>
      <c r="G122" s="22">
        <v>36234668</v>
      </c>
      <c r="H122" s="22">
        <v>1198</v>
      </c>
      <c r="J122" s="111">
        <v>8</v>
      </c>
      <c r="K122" s="23" t="s">
        <v>123</v>
      </c>
      <c r="L122" s="23"/>
      <c r="M122" s="42"/>
      <c r="N122" s="43">
        <v>18608431</v>
      </c>
      <c r="O122" s="23">
        <v>1860843100</v>
      </c>
      <c r="P122" s="22">
        <v>186084311</v>
      </c>
      <c r="Q122" s="22">
        <v>2725</v>
      </c>
    </row>
    <row r="123" spans="1:17" ht="15">
      <c r="A123" s="111">
        <v>9</v>
      </c>
      <c r="B123" s="23" t="s">
        <v>128</v>
      </c>
      <c r="C123" s="23"/>
      <c r="D123" s="42"/>
      <c r="E123" s="43"/>
      <c r="F123" s="23"/>
      <c r="G123" s="22">
        <v>12369998</v>
      </c>
      <c r="H123" s="22"/>
      <c r="J123" s="111">
        <v>9</v>
      </c>
      <c r="K123" s="23" t="s">
        <v>128</v>
      </c>
      <c r="L123" s="23"/>
      <c r="M123" s="42"/>
      <c r="N123" s="43"/>
      <c r="O123" s="23"/>
      <c r="P123" s="22">
        <v>47702332</v>
      </c>
      <c r="Q123" s="22"/>
    </row>
    <row r="124" spans="1:17" ht="15.75">
      <c r="A124" s="111">
        <v>10</v>
      </c>
      <c r="B124" s="16" t="s">
        <v>41</v>
      </c>
      <c r="C124" s="16"/>
      <c r="D124" s="174"/>
      <c r="E124" s="174"/>
      <c r="F124" s="91"/>
      <c r="G124" s="91">
        <v>9549388</v>
      </c>
      <c r="H124" s="175"/>
      <c r="J124" s="111">
        <v>10</v>
      </c>
      <c r="K124" s="16" t="s">
        <v>41</v>
      </c>
      <c r="L124" s="16"/>
      <c r="M124" s="174"/>
      <c r="N124" s="174"/>
      <c r="O124" s="91"/>
      <c r="P124" s="91">
        <v>19131867</v>
      </c>
      <c r="Q124" s="175"/>
    </row>
    <row r="125" spans="1:17" ht="15.75">
      <c r="A125" s="124"/>
      <c r="B125" s="158" t="s">
        <v>129</v>
      </c>
      <c r="C125" s="159">
        <f aca="true" t="shared" si="18" ref="C125:H125">SUM(C115:C124)</f>
        <v>171</v>
      </c>
      <c r="D125" s="160">
        <f t="shared" si="18"/>
        <v>258.016</v>
      </c>
      <c r="E125" s="159">
        <f t="shared" si="18"/>
        <v>5610311</v>
      </c>
      <c r="F125" s="161">
        <f t="shared" si="18"/>
        <v>842561950</v>
      </c>
      <c r="G125" s="161">
        <f>SUM(G115:G124)</f>
        <v>84675837</v>
      </c>
      <c r="H125" s="128">
        <f t="shared" si="18"/>
        <v>3450</v>
      </c>
      <c r="J125" s="124"/>
      <c r="K125" s="158" t="s">
        <v>129</v>
      </c>
      <c r="L125" s="159">
        <f aca="true" t="shared" si="19" ref="L125:Q125">SUM(L115:L124)</f>
        <v>262</v>
      </c>
      <c r="M125" s="160">
        <f t="shared" si="19"/>
        <v>422.21500000000003</v>
      </c>
      <c r="N125" s="159">
        <f t="shared" si="19"/>
        <v>21611346</v>
      </c>
      <c r="O125" s="161">
        <f t="shared" si="19"/>
        <v>2552526100</v>
      </c>
      <c r="P125" s="116">
        <f t="shared" si="19"/>
        <v>326410954</v>
      </c>
      <c r="Q125" s="128">
        <f t="shared" si="19"/>
        <v>7004</v>
      </c>
    </row>
    <row r="126" spans="1:17" ht="15" customHeight="1">
      <c r="A126" s="152"/>
      <c r="B126" s="153"/>
      <c r="C126" s="154"/>
      <c r="D126" s="155"/>
      <c r="E126" s="155"/>
      <c r="F126" s="156"/>
      <c r="G126" s="156"/>
      <c r="H126" s="157"/>
      <c r="J126" s="152"/>
      <c r="K126" s="153"/>
      <c r="L126" s="154"/>
      <c r="M126" s="155"/>
      <c r="N126" s="155"/>
      <c r="O126" s="156"/>
      <c r="Q126" s="157"/>
    </row>
    <row r="127" spans="1:17" ht="15.75">
      <c r="A127" s="118"/>
      <c r="B127" s="121"/>
      <c r="C127" s="12"/>
      <c r="D127" s="68" t="s">
        <v>65</v>
      </c>
      <c r="E127" s="123"/>
      <c r="F127" s="14"/>
      <c r="G127" s="14"/>
      <c r="H127" s="120"/>
      <c r="J127" s="118"/>
      <c r="K127" s="121"/>
      <c r="L127" s="12"/>
      <c r="M127" s="68" t="s">
        <v>65</v>
      </c>
      <c r="N127" s="123"/>
      <c r="O127" s="14"/>
      <c r="P127" s="14"/>
      <c r="Q127" s="120"/>
    </row>
    <row r="128" spans="1:17" s="121" customFormat="1" ht="15.75">
      <c r="A128" s="99" t="s">
        <v>121</v>
      </c>
      <c r="B128" s="100" t="s">
        <v>5</v>
      </c>
      <c r="C128" s="100" t="s">
        <v>6</v>
      </c>
      <c r="D128" s="101" t="s">
        <v>7</v>
      </c>
      <c r="E128" s="100" t="s">
        <v>8</v>
      </c>
      <c r="F128" s="102" t="s">
        <v>9</v>
      </c>
      <c r="G128" s="102" t="s">
        <v>10</v>
      </c>
      <c r="H128" s="99" t="s">
        <v>11</v>
      </c>
      <c r="I128"/>
      <c r="J128" s="99" t="s">
        <v>121</v>
      </c>
      <c r="K128" s="100" t="s">
        <v>5</v>
      </c>
      <c r="L128" s="100" t="s">
        <v>6</v>
      </c>
      <c r="M128" s="101" t="s">
        <v>7</v>
      </c>
      <c r="N128" s="100" t="s">
        <v>8</v>
      </c>
      <c r="O128" s="102" t="s">
        <v>9</v>
      </c>
      <c r="P128" s="102" t="s">
        <v>10</v>
      </c>
      <c r="Q128" s="99" t="s">
        <v>11</v>
      </c>
    </row>
    <row r="129" spans="1:17" s="121" customFormat="1" ht="15.75">
      <c r="A129" s="112"/>
      <c r="B129" s="104"/>
      <c r="C129" s="104"/>
      <c r="D129" s="176" t="s">
        <v>12</v>
      </c>
      <c r="E129" s="176" t="s">
        <v>13</v>
      </c>
      <c r="F129" s="177" t="s">
        <v>14</v>
      </c>
      <c r="G129" s="177" t="s">
        <v>14</v>
      </c>
      <c r="H129" s="117" t="s">
        <v>15</v>
      </c>
      <c r="I129"/>
      <c r="J129" s="112"/>
      <c r="K129" s="104"/>
      <c r="L129" s="104"/>
      <c r="M129" s="176" t="s">
        <v>12</v>
      </c>
      <c r="N129" s="176" t="s">
        <v>13</v>
      </c>
      <c r="O129" s="127" t="s">
        <v>391</v>
      </c>
      <c r="P129" s="109" t="s">
        <v>391</v>
      </c>
      <c r="Q129" s="117" t="s">
        <v>15</v>
      </c>
    </row>
    <row r="130" spans="1:17" s="121" customFormat="1" ht="15.75">
      <c r="A130" s="111">
        <v>1</v>
      </c>
      <c r="B130" s="23" t="s">
        <v>135</v>
      </c>
      <c r="C130" s="23">
        <v>10</v>
      </c>
      <c r="D130" s="42">
        <v>6.76</v>
      </c>
      <c r="E130" s="43">
        <v>593825</v>
      </c>
      <c r="F130" s="23">
        <v>296912500</v>
      </c>
      <c r="G130" s="22">
        <v>4984277</v>
      </c>
      <c r="H130" s="22">
        <v>1200</v>
      </c>
      <c r="I130"/>
      <c r="J130" s="111">
        <v>1</v>
      </c>
      <c r="K130" s="23" t="s">
        <v>123</v>
      </c>
      <c r="L130" s="23">
        <v>71</v>
      </c>
      <c r="M130" s="42">
        <v>213.9491</v>
      </c>
      <c r="N130" s="341">
        <v>6725923</v>
      </c>
      <c r="O130" s="380">
        <v>672592300</v>
      </c>
      <c r="P130" s="22">
        <v>134558473</v>
      </c>
      <c r="Q130" s="22">
        <v>900</v>
      </c>
    </row>
    <row r="131" spans="1:17" s="121" customFormat="1" ht="15.75">
      <c r="A131" s="111">
        <f>+A130+1</f>
        <v>2</v>
      </c>
      <c r="B131" s="23" t="s">
        <v>152</v>
      </c>
      <c r="C131" s="23">
        <v>1</v>
      </c>
      <c r="D131" s="42">
        <v>1300</v>
      </c>
      <c r="E131" s="43">
        <v>2200</v>
      </c>
      <c r="F131" s="23">
        <v>550000</v>
      </c>
      <c r="G131" s="22">
        <v>142978</v>
      </c>
      <c r="H131" s="22">
        <v>5</v>
      </c>
      <c r="I131"/>
      <c r="J131" s="111">
        <f>+J130+1</f>
        <v>2</v>
      </c>
      <c r="K131" s="23" t="s">
        <v>152</v>
      </c>
      <c r="L131" s="23">
        <v>1</v>
      </c>
      <c r="M131" s="42">
        <v>164</v>
      </c>
      <c r="N131" s="293">
        <v>3000</v>
      </c>
      <c r="O131" s="291">
        <v>900000</v>
      </c>
      <c r="P131" s="22">
        <v>230496</v>
      </c>
      <c r="Q131" s="22">
        <v>3</v>
      </c>
    </row>
    <row r="132" spans="1:17" s="121" customFormat="1" ht="15.75">
      <c r="A132" s="111">
        <f>+A131+1</f>
        <v>3</v>
      </c>
      <c r="B132" s="23" t="s">
        <v>123</v>
      </c>
      <c r="C132" s="23">
        <v>27</v>
      </c>
      <c r="D132" s="42">
        <v>77.4936</v>
      </c>
      <c r="E132" s="43">
        <v>4432967</v>
      </c>
      <c r="F132" s="23">
        <v>398967030</v>
      </c>
      <c r="G132" s="22">
        <v>48433242</v>
      </c>
      <c r="H132" s="22">
        <v>850</v>
      </c>
      <c r="I132"/>
      <c r="J132" s="111">
        <f>+J131+1</f>
        <v>3</v>
      </c>
      <c r="K132" s="23" t="s">
        <v>137</v>
      </c>
      <c r="L132" s="23">
        <v>12</v>
      </c>
      <c r="M132" s="42">
        <v>50.29</v>
      </c>
      <c r="N132" s="341">
        <v>28000</v>
      </c>
      <c r="O132" s="380">
        <v>7000000</v>
      </c>
      <c r="P132" s="22">
        <v>1588217</v>
      </c>
      <c r="Q132" s="22">
        <v>25</v>
      </c>
    </row>
    <row r="133" spans="1:17" s="121" customFormat="1" ht="15.75">
      <c r="A133" s="111">
        <f>+A132+1</f>
        <v>4</v>
      </c>
      <c r="B133" s="23" t="s">
        <v>137</v>
      </c>
      <c r="C133" s="23">
        <v>8</v>
      </c>
      <c r="D133" s="42">
        <v>34.84</v>
      </c>
      <c r="E133" s="43">
        <v>8700</v>
      </c>
      <c r="F133" s="23">
        <v>1740000</v>
      </c>
      <c r="G133" s="22">
        <v>490117</v>
      </c>
      <c r="H133" s="22">
        <v>16</v>
      </c>
      <c r="I133"/>
      <c r="J133" s="111">
        <f>+J132+1</f>
        <v>4</v>
      </c>
      <c r="K133" s="23" t="s">
        <v>125</v>
      </c>
      <c r="L133" s="23">
        <v>10</v>
      </c>
      <c r="M133" s="42">
        <v>10</v>
      </c>
      <c r="N133" s="43">
        <v>391994</v>
      </c>
      <c r="O133" s="23">
        <v>39199400</v>
      </c>
      <c r="P133" s="22">
        <v>6677221</v>
      </c>
      <c r="Q133" s="22">
        <v>30</v>
      </c>
    </row>
    <row r="134" spans="1:17" s="121" customFormat="1" ht="15.75">
      <c r="A134" s="111">
        <f>+A133+1</f>
        <v>5</v>
      </c>
      <c r="B134" s="23" t="s">
        <v>124</v>
      </c>
      <c r="C134" s="23">
        <v>61</v>
      </c>
      <c r="D134" s="42">
        <v>124.711</v>
      </c>
      <c r="E134" s="43">
        <v>78080</v>
      </c>
      <c r="F134" s="23">
        <v>195200000</v>
      </c>
      <c r="G134" s="22">
        <v>13805557</v>
      </c>
      <c r="H134" s="22">
        <v>180</v>
      </c>
      <c r="I134"/>
      <c r="J134" s="111">
        <f>+J133+1</f>
        <v>5</v>
      </c>
      <c r="K134" s="23" t="s">
        <v>153</v>
      </c>
      <c r="L134" s="23">
        <v>134</v>
      </c>
      <c r="M134" s="42">
        <v>102.74</v>
      </c>
      <c r="N134" s="43">
        <v>4209863</v>
      </c>
      <c r="O134" s="23">
        <v>420986300</v>
      </c>
      <c r="P134" s="22">
        <v>71609702</v>
      </c>
      <c r="Q134" s="22">
        <v>900</v>
      </c>
    </row>
    <row r="135" spans="1:17" s="121" customFormat="1" ht="15.75">
      <c r="A135" s="111">
        <f>+A134+1</f>
        <v>6</v>
      </c>
      <c r="B135" s="23" t="s">
        <v>125</v>
      </c>
      <c r="C135" s="23">
        <v>9</v>
      </c>
      <c r="D135" s="42">
        <v>9</v>
      </c>
      <c r="E135" s="43">
        <v>172300</v>
      </c>
      <c r="F135" s="23">
        <v>13784000</v>
      </c>
      <c r="G135" s="22">
        <v>1724711</v>
      </c>
      <c r="H135" s="22">
        <v>27</v>
      </c>
      <c r="I135"/>
      <c r="J135" s="111">
        <f>+J134+1</f>
        <v>6</v>
      </c>
      <c r="K135" s="23" t="s">
        <v>124</v>
      </c>
      <c r="L135" s="23">
        <v>60</v>
      </c>
      <c r="M135" s="42">
        <v>138.4913</v>
      </c>
      <c r="N135" s="43">
        <v>123000</v>
      </c>
      <c r="O135" s="23">
        <v>246000000</v>
      </c>
      <c r="P135" s="22">
        <v>24046891</v>
      </c>
      <c r="Q135" s="22">
        <v>200</v>
      </c>
    </row>
    <row r="136" spans="1:17" s="121" customFormat="1" ht="15.75">
      <c r="A136" s="111">
        <v>7</v>
      </c>
      <c r="B136" s="23" t="s">
        <v>153</v>
      </c>
      <c r="C136" s="23">
        <v>117</v>
      </c>
      <c r="D136" s="42">
        <v>86.34</v>
      </c>
      <c r="E136" s="43">
        <v>3474000</v>
      </c>
      <c r="F136" s="23">
        <v>347400000</v>
      </c>
      <c r="G136" s="22">
        <v>35855283</v>
      </c>
      <c r="H136" s="22">
        <v>550</v>
      </c>
      <c r="I136"/>
      <c r="J136" s="111">
        <v>7</v>
      </c>
      <c r="K136" s="23" t="s">
        <v>135</v>
      </c>
      <c r="L136" s="23">
        <v>10</v>
      </c>
      <c r="M136" s="42">
        <v>6.5</v>
      </c>
      <c r="N136" s="43">
        <v>869948</v>
      </c>
      <c r="O136" s="23">
        <v>1043937600</v>
      </c>
      <c r="P136" s="22">
        <v>17500992</v>
      </c>
      <c r="Q136" s="22">
        <v>550</v>
      </c>
    </row>
    <row r="137" spans="1:17" s="121" customFormat="1" ht="16.5" customHeight="1">
      <c r="A137" s="111">
        <v>8</v>
      </c>
      <c r="B137" s="23" t="s">
        <v>140</v>
      </c>
      <c r="C137" s="23"/>
      <c r="D137" s="42"/>
      <c r="E137" s="43">
        <v>100500</v>
      </c>
      <c r="F137" s="23">
        <v>8040000</v>
      </c>
      <c r="G137" s="22">
        <v>1335613</v>
      </c>
      <c r="H137" s="22">
        <v>80</v>
      </c>
      <c r="I137"/>
      <c r="J137" s="111">
        <v>8</v>
      </c>
      <c r="K137" s="23" t="s">
        <v>140</v>
      </c>
      <c r="L137" s="23"/>
      <c r="M137" s="42"/>
      <c r="N137" s="43">
        <v>147335</v>
      </c>
      <c r="O137" s="23">
        <v>22100250</v>
      </c>
      <c r="P137" s="22">
        <v>3928956</v>
      </c>
      <c r="Q137" s="22">
        <v>50</v>
      </c>
    </row>
    <row r="138" spans="1:17" s="121" customFormat="1" ht="16.5" customHeight="1">
      <c r="A138" s="111">
        <v>9</v>
      </c>
      <c r="B138" s="23" t="s">
        <v>128</v>
      </c>
      <c r="C138" s="23"/>
      <c r="D138" s="42"/>
      <c r="E138" s="43"/>
      <c r="F138" s="23"/>
      <c r="G138" s="22">
        <v>14060696</v>
      </c>
      <c r="H138" s="22"/>
      <c r="I138"/>
      <c r="J138" s="111">
        <v>9</v>
      </c>
      <c r="K138" s="23" t="s">
        <v>128</v>
      </c>
      <c r="L138" s="23"/>
      <c r="M138" s="42"/>
      <c r="N138" s="43"/>
      <c r="O138" s="23"/>
      <c r="P138" s="22">
        <v>8236958</v>
      </c>
      <c r="Q138" s="22"/>
    </row>
    <row r="139" spans="1:17" s="121" customFormat="1" ht="16.5" customHeight="1">
      <c r="A139" s="111">
        <v>10</v>
      </c>
      <c r="B139" s="16" t="s">
        <v>41</v>
      </c>
      <c r="C139" s="23"/>
      <c r="D139" s="42"/>
      <c r="E139" s="43"/>
      <c r="F139" s="23"/>
      <c r="G139" s="22">
        <f>31832435-26296609</f>
        <v>5535826</v>
      </c>
      <c r="H139" s="22"/>
      <c r="I139"/>
      <c r="J139" s="111">
        <v>10</v>
      </c>
      <c r="K139" s="16" t="s">
        <v>41</v>
      </c>
      <c r="L139" s="23"/>
      <c r="M139" s="42"/>
      <c r="N139" s="43"/>
      <c r="O139" s="23"/>
      <c r="P139" s="22">
        <v>4398636</v>
      </c>
      <c r="Q139" s="22"/>
    </row>
    <row r="140" spans="1:17" s="121" customFormat="1" ht="15.75">
      <c r="A140" s="112"/>
      <c r="B140" s="113" t="s">
        <v>129</v>
      </c>
      <c r="C140" s="113">
        <f aca="true" t="shared" si="20" ref="C140:H140">SUM(C130:C137)</f>
        <v>233</v>
      </c>
      <c r="D140" s="150">
        <f t="shared" si="20"/>
        <v>1639.1445999999999</v>
      </c>
      <c r="E140" s="113">
        <f t="shared" si="20"/>
        <v>8862572</v>
      </c>
      <c r="F140" s="151">
        <f t="shared" si="20"/>
        <v>1262593530</v>
      </c>
      <c r="G140" s="151">
        <f>SUM(G130:G139)</f>
        <v>126368300</v>
      </c>
      <c r="H140" s="117">
        <f t="shared" si="20"/>
        <v>2908</v>
      </c>
      <c r="I140"/>
      <c r="J140" s="112"/>
      <c r="K140" s="113" t="s">
        <v>129</v>
      </c>
      <c r="L140" s="113">
        <f>SUM(L130:L137)</f>
        <v>298</v>
      </c>
      <c r="M140" s="150">
        <f>SUM(M130:M137)</f>
        <v>685.9704</v>
      </c>
      <c r="N140" s="113">
        <f>SUM(N130:N137)</f>
        <v>12499063</v>
      </c>
      <c r="O140" s="151">
        <f>SUM(O130:O137)</f>
        <v>2452715850</v>
      </c>
      <c r="P140" s="151">
        <f>SUM(P130:P139)</f>
        <v>272776542</v>
      </c>
      <c r="Q140" s="117">
        <f>SUM(Q130:Q137)</f>
        <v>2658</v>
      </c>
    </row>
    <row r="141" spans="1:17" s="34" customFormat="1" ht="15.75">
      <c r="A141" s="118"/>
      <c r="B141" s="119"/>
      <c r="C141" s="49"/>
      <c r="D141" s="68"/>
      <c r="E141" s="68"/>
      <c r="F141" s="50"/>
      <c r="G141" s="50"/>
      <c r="H141" s="120"/>
      <c r="I141"/>
      <c r="J141" s="118"/>
      <c r="K141" s="119"/>
      <c r="L141" s="49"/>
      <c r="M141" s="68"/>
      <c r="N141" s="68"/>
      <c r="O141" s="50"/>
      <c r="P141" s="50"/>
      <c r="Q141" s="120"/>
    </row>
    <row r="142" spans="1:17" ht="15.75">
      <c r="A142" s="95"/>
      <c r="B142" s="39"/>
      <c r="C142" s="40"/>
      <c r="D142" s="135" t="s">
        <v>154</v>
      </c>
      <c r="E142" s="97"/>
      <c r="F142" s="41"/>
      <c r="G142" s="41"/>
      <c r="H142" s="98"/>
      <c r="J142" s="95"/>
      <c r="K142" s="39"/>
      <c r="L142" s="40"/>
      <c r="M142" s="135" t="s">
        <v>154</v>
      </c>
      <c r="N142" s="97"/>
      <c r="O142" s="41"/>
      <c r="P142" s="41"/>
      <c r="Q142" s="98"/>
    </row>
    <row r="143" spans="1:17" ht="15">
      <c r="A143" s="99" t="s">
        <v>121</v>
      </c>
      <c r="B143" s="100" t="s">
        <v>5</v>
      </c>
      <c r="C143" s="100" t="s">
        <v>6</v>
      </c>
      <c r="D143" s="101" t="s">
        <v>7</v>
      </c>
      <c r="E143" s="100" t="s">
        <v>8</v>
      </c>
      <c r="F143" s="102" t="s">
        <v>9</v>
      </c>
      <c r="G143" s="102" t="s">
        <v>10</v>
      </c>
      <c r="H143" s="99" t="s">
        <v>11</v>
      </c>
      <c r="J143" s="99" t="s">
        <v>121</v>
      </c>
      <c r="K143" s="100" t="s">
        <v>5</v>
      </c>
      <c r="L143" s="100" t="s">
        <v>6</v>
      </c>
      <c r="M143" s="101" t="s">
        <v>7</v>
      </c>
      <c r="N143" s="100" t="s">
        <v>8</v>
      </c>
      <c r="O143" s="102" t="s">
        <v>9</v>
      </c>
      <c r="P143" s="102" t="s">
        <v>10</v>
      </c>
      <c r="Q143" s="99" t="s">
        <v>11</v>
      </c>
    </row>
    <row r="144" spans="1:17" ht="15.75">
      <c r="A144" s="103"/>
      <c r="B144" s="104"/>
      <c r="C144" s="105"/>
      <c r="D144" s="106" t="s">
        <v>12</v>
      </c>
      <c r="E144" s="106" t="s">
        <v>13</v>
      </c>
      <c r="F144" s="109" t="s">
        <v>14</v>
      </c>
      <c r="G144" s="109" t="s">
        <v>14</v>
      </c>
      <c r="H144" s="108" t="s">
        <v>15</v>
      </c>
      <c r="J144" s="103"/>
      <c r="K144" s="104"/>
      <c r="L144" s="105"/>
      <c r="M144" s="106" t="s">
        <v>12</v>
      </c>
      <c r="N144" s="106" t="s">
        <v>13</v>
      </c>
      <c r="O144" s="127" t="s">
        <v>391</v>
      </c>
      <c r="P144" s="109" t="s">
        <v>391</v>
      </c>
      <c r="Q144" s="108" t="s">
        <v>15</v>
      </c>
    </row>
    <row r="145" spans="1:17" ht="15">
      <c r="A145" s="111">
        <v>1</v>
      </c>
      <c r="B145" s="23" t="s">
        <v>135</v>
      </c>
      <c r="C145" s="23"/>
      <c r="D145" s="42"/>
      <c r="E145" s="43">
        <v>357500</v>
      </c>
      <c r="F145" s="23">
        <v>178750000</v>
      </c>
      <c r="G145" s="22">
        <v>715000</v>
      </c>
      <c r="H145" s="22"/>
      <c r="J145" s="111">
        <v>1</v>
      </c>
      <c r="K145" s="23" t="s">
        <v>140</v>
      </c>
      <c r="L145" s="23">
        <v>373</v>
      </c>
      <c r="M145" s="42">
        <v>1186.3818</v>
      </c>
      <c r="N145" s="556">
        <v>2068896</v>
      </c>
      <c r="O145" s="557">
        <v>2205000000</v>
      </c>
      <c r="P145" s="22">
        <v>208059000</v>
      </c>
      <c r="Q145" s="22">
        <v>3730</v>
      </c>
    </row>
    <row r="146" spans="1:17" ht="15">
      <c r="A146" s="111">
        <v>2</v>
      </c>
      <c r="B146" s="23" t="s">
        <v>125</v>
      </c>
      <c r="C146" s="23"/>
      <c r="D146" s="42"/>
      <c r="E146" s="43">
        <v>153400</v>
      </c>
      <c r="F146" s="23">
        <v>7670000</v>
      </c>
      <c r="G146" s="22">
        <v>1534000</v>
      </c>
      <c r="H146" s="22"/>
      <c r="J146" s="111">
        <v>2</v>
      </c>
      <c r="K146" s="23" t="s">
        <v>125</v>
      </c>
      <c r="L146" s="23"/>
      <c r="M146" s="42"/>
      <c r="N146" s="293"/>
      <c r="O146" s="292"/>
      <c r="P146" s="22">
        <v>4930000</v>
      </c>
      <c r="Q146" s="22"/>
    </row>
    <row r="147" spans="1:17" ht="15">
      <c r="A147" s="111">
        <v>3</v>
      </c>
      <c r="B147" s="23" t="s">
        <v>140</v>
      </c>
      <c r="C147" s="23">
        <v>356</v>
      </c>
      <c r="D147" s="42">
        <v>1124.9236</v>
      </c>
      <c r="E147" s="43">
        <v>1749580</v>
      </c>
      <c r="F147" s="23">
        <v>1049748000</v>
      </c>
      <c r="G147" s="22">
        <v>87479000</v>
      </c>
      <c r="H147" s="22">
        <v>3560</v>
      </c>
      <c r="J147" s="111">
        <v>3</v>
      </c>
      <c r="K147" s="23" t="s">
        <v>128</v>
      </c>
      <c r="L147" s="23"/>
      <c r="M147" s="42"/>
      <c r="N147" s="341"/>
      <c r="O147" s="380"/>
      <c r="P147" s="22"/>
      <c r="Q147" s="22"/>
    </row>
    <row r="148" spans="1:17" ht="15">
      <c r="A148" s="111">
        <v>4</v>
      </c>
      <c r="B148" s="23" t="s">
        <v>41</v>
      </c>
      <c r="C148" s="23"/>
      <c r="D148" s="42"/>
      <c r="E148" s="43"/>
      <c r="F148" s="23"/>
      <c r="G148" s="22">
        <v>12898000</v>
      </c>
      <c r="H148" s="22"/>
      <c r="J148" s="111">
        <v>4</v>
      </c>
      <c r="K148" s="23" t="s">
        <v>41</v>
      </c>
      <c r="L148" s="23"/>
      <c r="M148" s="42"/>
      <c r="N148" s="43"/>
      <c r="O148" s="23"/>
      <c r="P148" s="22">
        <v>11554000</v>
      </c>
      <c r="Q148" s="22"/>
    </row>
    <row r="149" spans="1:17" ht="15.75">
      <c r="A149" s="124"/>
      <c r="B149" s="158" t="s">
        <v>129</v>
      </c>
      <c r="C149" s="161">
        <f aca="true" t="shared" si="21" ref="C149:H149">SUM(C145:C148)</f>
        <v>356</v>
      </c>
      <c r="D149" s="160">
        <f t="shared" si="21"/>
        <v>1124.9236</v>
      </c>
      <c r="E149" s="161">
        <f t="shared" si="21"/>
        <v>2260480</v>
      </c>
      <c r="F149" s="161">
        <f t="shared" si="21"/>
        <v>1236168000</v>
      </c>
      <c r="G149" s="161">
        <f t="shared" si="21"/>
        <v>102626000</v>
      </c>
      <c r="H149" s="178">
        <f t="shared" si="21"/>
        <v>3560</v>
      </c>
      <c r="J149" s="124"/>
      <c r="K149" s="158" t="s">
        <v>129</v>
      </c>
      <c r="L149" s="161">
        <f aca="true" t="shared" si="22" ref="L149:Q149">SUM(L145:L148)</f>
        <v>373</v>
      </c>
      <c r="M149" s="160">
        <f t="shared" si="22"/>
        <v>1186.3818</v>
      </c>
      <c r="N149" s="161">
        <f t="shared" si="22"/>
        <v>2068896</v>
      </c>
      <c r="O149" s="161">
        <f t="shared" si="22"/>
        <v>2205000000</v>
      </c>
      <c r="P149" s="161">
        <f t="shared" si="22"/>
        <v>224543000</v>
      </c>
      <c r="Q149" s="178">
        <f t="shared" si="22"/>
        <v>3730</v>
      </c>
    </row>
    <row r="150" spans="1:17" ht="15.75">
      <c r="A150" s="152"/>
      <c r="B150" s="153"/>
      <c r="C150" s="154"/>
      <c r="D150" s="155"/>
      <c r="E150" s="155"/>
      <c r="F150" s="156"/>
      <c r="G150" s="156"/>
      <c r="H150" s="157"/>
      <c r="J150" s="152"/>
      <c r="K150" s="153"/>
      <c r="L150" s="154"/>
      <c r="M150" s="155"/>
      <c r="N150" s="155"/>
      <c r="O150" s="156"/>
      <c r="P150" s="156"/>
      <c r="Q150" s="157"/>
    </row>
    <row r="151" spans="1:17" ht="15.75">
      <c r="A151" s="95"/>
      <c r="B151" s="39"/>
      <c r="C151" s="40"/>
      <c r="D151" s="135" t="s">
        <v>155</v>
      </c>
      <c r="E151" s="97"/>
      <c r="F151" s="41"/>
      <c r="G151" s="41"/>
      <c r="H151" s="98"/>
      <c r="J151" s="95"/>
      <c r="K151" s="39"/>
      <c r="L151" s="40"/>
      <c r="M151" s="135" t="s">
        <v>155</v>
      </c>
      <c r="N151" s="97"/>
      <c r="O151" s="41"/>
      <c r="P151" s="41"/>
      <c r="Q151" s="120"/>
    </row>
    <row r="152" spans="1:22" ht="15">
      <c r="A152" s="99" t="s">
        <v>121</v>
      </c>
      <c r="B152" s="100" t="s">
        <v>5</v>
      </c>
      <c r="C152" s="100" t="s">
        <v>6</v>
      </c>
      <c r="D152" s="101" t="s">
        <v>7</v>
      </c>
      <c r="E152" s="100" t="s">
        <v>8</v>
      </c>
      <c r="F152" s="102" t="s">
        <v>9</v>
      </c>
      <c r="G152" s="102" t="s">
        <v>10</v>
      </c>
      <c r="H152" s="99" t="s">
        <v>11</v>
      </c>
      <c r="J152" s="99" t="s">
        <v>121</v>
      </c>
      <c r="K152" s="100" t="s">
        <v>5</v>
      </c>
      <c r="L152" s="100" t="s">
        <v>6</v>
      </c>
      <c r="M152" s="101" t="s">
        <v>7</v>
      </c>
      <c r="N152" s="100" t="s">
        <v>8</v>
      </c>
      <c r="O152" s="102" t="s">
        <v>9</v>
      </c>
      <c r="P152" s="102" t="s">
        <v>10</v>
      </c>
      <c r="Q152" s="386" t="s">
        <v>11</v>
      </c>
      <c r="R152" s="34"/>
      <c r="S152" s="34"/>
      <c r="T152" s="34"/>
      <c r="U152" s="34"/>
      <c r="V152" s="34"/>
    </row>
    <row r="153" spans="1:22" ht="15.75">
      <c r="A153" s="103"/>
      <c r="B153" s="104"/>
      <c r="C153" s="105"/>
      <c r="D153" s="106" t="s">
        <v>12</v>
      </c>
      <c r="E153" s="106" t="s">
        <v>13</v>
      </c>
      <c r="F153" s="109" t="s">
        <v>14</v>
      </c>
      <c r="G153" s="109" t="s">
        <v>14</v>
      </c>
      <c r="H153" s="108" t="s">
        <v>15</v>
      </c>
      <c r="J153" s="103"/>
      <c r="K153" s="104"/>
      <c r="L153" s="105"/>
      <c r="M153" s="106" t="s">
        <v>12</v>
      </c>
      <c r="N153" s="106" t="s">
        <v>13</v>
      </c>
      <c r="O153" s="127" t="s">
        <v>391</v>
      </c>
      <c r="P153" s="109" t="s">
        <v>391</v>
      </c>
      <c r="Q153" s="312" t="s">
        <v>15</v>
      </c>
      <c r="R153" s="34"/>
      <c r="S153" s="34"/>
      <c r="T153" s="34"/>
      <c r="U153" s="34"/>
      <c r="V153" s="34"/>
    </row>
    <row r="154" spans="1:22" ht="15">
      <c r="A154" s="167">
        <v>1</v>
      </c>
      <c r="B154" s="23" t="s">
        <v>140</v>
      </c>
      <c r="C154" s="23">
        <v>470</v>
      </c>
      <c r="D154" s="42">
        <v>711.147</v>
      </c>
      <c r="E154" s="43">
        <v>248960</v>
      </c>
      <c r="F154" s="23">
        <v>149376000</v>
      </c>
      <c r="G154" s="22">
        <v>28193824</v>
      </c>
      <c r="H154" s="22">
        <v>8576</v>
      </c>
      <c r="J154" s="167">
        <v>1</v>
      </c>
      <c r="K154" s="310" t="s">
        <v>140</v>
      </c>
      <c r="L154" s="307">
        <v>486</v>
      </c>
      <c r="M154" s="42">
        <v>834.211</v>
      </c>
      <c r="N154" s="43">
        <v>261450</v>
      </c>
      <c r="O154" s="23">
        <v>183015000</v>
      </c>
      <c r="P154" s="277">
        <v>46945628</v>
      </c>
      <c r="Q154" s="313">
        <v>7290</v>
      </c>
      <c r="R154" s="256"/>
      <c r="S154" s="261"/>
      <c r="T154" s="255"/>
      <c r="U154" s="257"/>
      <c r="V154" s="257"/>
    </row>
    <row r="155" spans="1:22" ht="15">
      <c r="A155" s="167">
        <v>2</v>
      </c>
      <c r="B155" s="23" t="s">
        <v>137</v>
      </c>
      <c r="C155" s="23">
        <v>19</v>
      </c>
      <c r="D155" s="42">
        <v>27.7011</v>
      </c>
      <c r="E155" s="43">
        <v>330359</v>
      </c>
      <c r="F155" s="23">
        <v>27419797</v>
      </c>
      <c r="G155" s="22">
        <v>19031277</v>
      </c>
      <c r="H155" s="22">
        <v>332</v>
      </c>
      <c r="J155" s="167">
        <v>2</v>
      </c>
      <c r="K155" s="310" t="s">
        <v>125</v>
      </c>
      <c r="L155" s="23">
        <v>66</v>
      </c>
      <c r="M155" s="42">
        <v>67.6845</v>
      </c>
      <c r="N155" s="43">
        <v>273605</v>
      </c>
      <c r="O155" s="23">
        <v>18258250</v>
      </c>
      <c r="P155" s="277">
        <v>10096649</v>
      </c>
      <c r="Q155" s="313">
        <v>522</v>
      </c>
      <c r="R155" s="256"/>
      <c r="S155" s="261"/>
      <c r="T155" s="255"/>
      <c r="U155" s="257"/>
      <c r="V155" s="257"/>
    </row>
    <row r="156" spans="1:22" s="173" customFormat="1" ht="15">
      <c r="A156" s="167">
        <v>3</v>
      </c>
      <c r="B156" s="23" t="s">
        <v>125</v>
      </c>
      <c r="C156" s="23">
        <v>61</v>
      </c>
      <c r="D156" s="42">
        <v>62.6845</v>
      </c>
      <c r="E156" s="43">
        <v>140190</v>
      </c>
      <c r="F156" s="23">
        <v>5607600</v>
      </c>
      <c r="G156" s="22">
        <v>6697820</v>
      </c>
      <c r="H156" s="22">
        <v>320</v>
      </c>
      <c r="I156"/>
      <c r="J156" s="167">
        <v>3</v>
      </c>
      <c r="K156" s="23" t="s">
        <v>124</v>
      </c>
      <c r="L156" s="307">
        <v>15</v>
      </c>
      <c r="M156" s="42">
        <v>40.1079</v>
      </c>
      <c r="N156" s="43">
        <v>25376</v>
      </c>
      <c r="O156" s="23">
        <v>3030400</v>
      </c>
      <c r="P156" s="277">
        <v>4149991</v>
      </c>
      <c r="Q156" s="313">
        <v>121</v>
      </c>
      <c r="R156" s="256"/>
      <c r="S156" s="261"/>
      <c r="T156" s="255"/>
      <c r="U156" s="257"/>
      <c r="V156" s="257"/>
    </row>
    <row r="157" spans="1:22" s="173" customFormat="1" ht="15.75">
      <c r="A157" s="167">
        <v>4</v>
      </c>
      <c r="B157" s="23" t="s">
        <v>156</v>
      </c>
      <c r="C157" s="23">
        <v>4</v>
      </c>
      <c r="D157" s="42">
        <v>4</v>
      </c>
      <c r="E157" s="43">
        <v>385</v>
      </c>
      <c r="F157" s="23">
        <v>173250</v>
      </c>
      <c r="G157" s="22">
        <v>97064</v>
      </c>
      <c r="H157" s="22">
        <v>3</v>
      </c>
      <c r="I157"/>
      <c r="J157" s="167">
        <v>4</v>
      </c>
      <c r="K157" s="16" t="s">
        <v>127</v>
      </c>
      <c r="L157" s="307">
        <v>3</v>
      </c>
      <c r="M157" s="42">
        <v>3</v>
      </c>
      <c r="N157" s="43">
        <v>375</v>
      </c>
      <c r="O157" s="23">
        <v>187500</v>
      </c>
      <c r="P157" s="277">
        <v>103530</v>
      </c>
      <c r="Q157" s="313">
        <v>4</v>
      </c>
      <c r="R157" s="256"/>
      <c r="S157" s="261"/>
      <c r="T157" s="255"/>
      <c r="U157" s="257"/>
      <c r="V157" s="257"/>
    </row>
    <row r="158" spans="1:22" s="173" customFormat="1" ht="15">
      <c r="A158" s="167">
        <v>5</v>
      </c>
      <c r="B158" s="23" t="s">
        <v>124</v>
      </c>
      <c r="C158" s="23">
        <v>13</v>
      </c>
      <c r="D158" s="42">
        <v>36.5953</v>
      </c>
      <c r="E158" s="43">
        <v>860</v>
      </c>
      <c r="F158" s="23">
        <v>430000</v>
      </c>
      <c r="G158" s="22">
        <v>1841197</v>
      </c>
      <c r="H158" s="22">
        <v>15</v>
      </c>
      <c r="I158"/>
      <c r="J158" s="167">
        <v>5</v>
      </c>
      <c r="K158" s="23" t="s">
        <v>137</v>
      </c>
      <c r="L158" s="23">
        <v>18</v>
      </c>
      <c r="M158" s="42">
        <v>36.3334</v>
      </c>
      <c r="N158" s="43">
        <v>288414</v>
      </c>
      <c r="O158" s="23">
        <v>31725540</v>
      </c>
      <c r="P158" s="277">
        <v>25054896</v>
      </c>
      <c r="Q158" s="313">
        <v>284</v>
      </c>
      <c r="R158" s="256"/>
      <c r="S158" s="261"/>
      <c r="T158" s="255"/>
      <c r="U158" s="257"/>
      <c r="V158" s="257"/>
    </row>
    <row r="159" spans="1:22" s="173" customFormat="1" ht="15">
      <c r="A159" s="167">
        <v>6</v>
      </c>
      <c r="B159" s="23" t="s">
        <v>123</v>
      </c>
      <c r="C159" s="23">
        <v>0</v>
      </c>
      <c r="D159" s="42">
        <v>0</v>
      </c>
      <c r="E159" s="43">
        <v>48300</v>
      </c>
      <c r="F159" s="23">
        <v>3864000</v>
      </c>
      <c r="G159" s="22">
        <v>662502</v>
      </c>
      <c r="H159" s="22">
        <v>140</v>
      </c>
      <c r="I159"/>
      <c r="J159" s="167">
        <v>6</v>
      </c>
      <c r="K159" s="23" t="s">
        <v>152</v>
      </c>
      <c r="L159" s="307"/>
      <c r="M159" s="42"/>
      <c r="N159" s="43"/>
      <c r="O159" s="20"/>
      <c r="P159" s="277">
        <v>1483450</v>
      </c>
      <c r="Q159" s="313"/>
      <c r="R159" s="276"/>
      <c r="S159" s="276"/>
      <c r="T159" s="276"/>
      <c r="U159" s="276"/>
      <c r="V159" s="276"/>
    </row>
    <row r="160" spans="1:22" s="173" customFormat="1" ht="15">
      <c r="A160" s="167">
        <v>7</v>
      </c>
      <c r="B160" s="23" t="s">
        <v>152</v>
      </c>
      <c r="C160" s="23">
        <v>0</v>
      </c>
      <c r="D160" s="42">
        <v>0</v>
      </c>
      <c r="E160" s="43">
        <v>150</v>
      </c>
      <c r="F160" s="23">
        <v>7500</v>
      </c>
      <c r="G160" s="22">
        <v>1650</v>
      </c>
      <c r="H160" s="22">
        <v>5</v>
      </c>
      <c r="I160"/>
      <c r="J160" s="167">
        <v>7</v>
      </c>
      <c r="K160" s="310" t="s">
        <v>123</v>
      </c>
      <c r="L160" s="23"/>
      <c r="M160" s="42"/>
      <c r="N160" s="43">
        <v>52200</v>
      </c>
      <c r="O160" s="23">
        <v>2610000</v>
      </c>
      <c r="P160" s="277">
        <v>702206</v>
      </c>
      <c r="Q160" s="313"/>
      <c r="R160" s="276"/>
      <c r="S160" s="276"/>
      <c r="T160" s="276"/>
      <c r="U160" s="276"/>
      <c r="V160" s="276"/>
    </row>
    <row r="161" spans="1:22" s="173" customFormat="1" ht="15">
      <c r="A161" s="522"/>
      <c r="B161" s="23"/>
      <c r="C161" s="23"/>
      <c r="D161" s="42"/>
      <c r="E161" s="43"/>
      <c r="F161" s="23"/>
      <c r="G161" s="22"/>
      <c r="H161" s="22"/>
      <c r="I161"/>
      <c r="J161" s="167">
        <v>8</v>
      </c>
      <c r="K161" s="255" t="s">
        <v>148</v>
      </c>
      <c r="L161" s="23"/>
      <c r="M161" s="42"/>
      <c r="N161" s="43"/>
      <c r="O161" s="23"/>
      <c r="P161" s="277">
        <v>156750</v>
      </c>
      <c r="Q161" s="313"/>
      <c r="R161" s="276"/>
      <c r="S161" s="276"/>
      <c r="T161" s="276"/>
      <c r="U161" s="276"/>
      <c r="V161" s="276"/>
    </row>
    <row r="162" spans="1:17" s="173" customFormat="1" ht="15">
      <c r="A162" s="110">
        <v>8</v>
      </c>
      <c r="B162" s="23" t="s">
        <v>128</v>
      </c>
      <c r="C162" s="23"/>
      <c r="D162" s="42"/>
      <c r="E162" s="43"/>
      <c r="F162" s="23"/>
      <c r="G162" s="22">
        <v>3476349</v>
      </c>
      <c r="H162" s="22"/>
      <c r="I162"/>
      <c r="J162" s="167">
        <v>9</v>
      </c>
      <c r="K162" s="23" t="s">
        <v>128</v>
      </c>
      <c r="L162" s="23"/>
      <c r="M162" s="42"/>
      <c r="N162" s="43"/>
      <c r="O162" s="23"/>
      <c r="P162" s="277">
        <v>3332963</v>
      </c>
      <c r="Q162" s="313"/>
    </row>
    <row r="163" spans="1:17" s="173" customFormat="1" ht="15.75">
      <c r="A163" s="110">
        <v>9</v>
      </c>
      <c r="B163" s="16" t="s">
        <v>41</v>
      </c>
      <c r="C163" s="23"/>
      <c r="D163" s="42"/>
      <c r="E163" s="43"/>
      <c r="F163" s="23"/>
      <c r="G163" s="22">
        <v>13036005</v>
      </c>
      <c r="H163" s="22"/>
      <c r="I163"/>
      <c r="J163" s="167">
        <v>10</v>
      </c>
      <c r="K163" s="16" t="s">
        <v>41</v>
      </c>
      <c r="L163" s="23"/>
      <c r="M163" s="42"/>
      <c r="N163" s="43"/>
      <c r="O163" s="23"/>
      <c r="P163" s="277">
        <v>20473212</v>
      </c>
      <c r="Q163" s="313"/>
    </row>
    <row r="164" spans="1:17" ht="15.75">
      <c r="A164" s="112"/>
      <c r="B164" s="113" t="s">
        <v>129</v>
      </c>
      <c r="C164" s="114">
        <f aca="true" t="shared" si="23" ref="C164:H164">SUM(C154:C163)</f>
        <v>567</v>
      </c>
      <c r="D164" s="115">
        <f t="shared" si="23"/>
        <v>842.1279</v>
      </c>
      <c r="E164" s="114">
        <f t="shared" si="23"/>
        <v>769204</v>
      </c>
      <c r="F164" s="116">
        <f t="shared" si="23"/>
        <v>186878147</v>
      </c>
      <c r="G164" s="116">
        <f t="shared" si="23"/>
        <v>73037688</v>
      </c>
      <c r="H164" s="117">
        <f t="shared" si="23"/>
        <v>9391</v>
      </c>
      <c r="J164" s="112"/>
      <c r="K164" s="113" t="s">
        <v>129</v>
      </c>
      <c r="L164" s="114">
        <f aca="true" t="shared" si="24" ref="L164:Q164">SUM(L154:L163)</f>
        <v>588</v>
      </c>
      <c r="M164" s="115">
        <f t="shared" si="24"/>
        <v>981.3367999999999</v>
      </c>
      <c r="N164" s="116">
        <f t="shared" si="24"/>
        <v>901420</v>
      </c>
      <c r="O164" s="116">
        <f t="shared" si="24"/>
        <v>238826690</v>
      </c>
      <c r="P164" s="116">
        <f t="shared" si="24"/>
        <v>112499275</v>
      </c>
      <c r="Q164" s="523">
        <f t="shared" si="24"/>
        <v>8221</v>
      </c>
    </row>
    <row r="165" spans="1:17" ht="15.75">
      <c r="A165" s="118"/>
      <c r="B165" s="121"/>
      <c r="C165" s="12"/>
      <c r="D165" s="123"/>
      <c r="E165" s="123"/>
      <c r="F165" s="14"/>
      <c r="G165" s="14"/>
      <c r="H165" s="120"/>
      <c r="J165" s="118"/>
      <c r="K165" s="121"/>
      <c r="L165" s="12"/>
      <c r="M165" s="123"/>
      <c r="N165" s="123"/>
      <c r="O165" s="14"/>
      <c r="Q165" s="120"/>
    </row>
    <row r="166" spans="1:17" ht="15.75">
      <c r="A166" s="118"/>
      <c r="B166" s="121"/>
      <c r="C166" s="12"/>
      <c r="D166" s="68" t="s">
        <v>68</v>
      </c>
      <c r="E166" s="123"/>
      <c r="F166" s="14"/>
      <c r="G166" s="14"/>
      <c r="H166" s="120"/>
      <c r="J166" s="118"/>
      <c r="K166" s="121"/>
      <c r="L166" s="12"/>
      <c r="M166" s="68" t="s">
        <v>68</v>
      </c>
      <c r="N166" s="123"/>
      <c r="O166" s="14"/>
      <c r="P166" s="14"/>
      <c r="Q166" s="120"/>
    </row>
    <row r="167" spans="1:17" s="121" customFormat="1" ht="15.75">
      <c r="A167" s="99" t="s">
        <v>121</v>
      </c>
      <c r="B167" s="100" t="s">
        <v>5</v>
      </c>
      <c r="C167" s="100" t="s">
        <v>6</v>
      </c>
      <c r="D167" s="101" t="s">
        <v>7</v>
      </c>
      <c r="E167" s="100" t="s">
        <v>8</v>
      </c>
      <c r="F167" s="102" t="s">
        <v>9</v>
      </c>
      <c r="G167" s="102" t="s">
        <v>10</v>
      </c>
      <c r="H167" s="99" t="s">
        <v>11</v>
      </c>
      <c r="I167"/>
      <c r="J167" s="99" t="s">
        <v>121</v>
      </c>
      <c r="K167" s="100" t="s">
        <v>5</v>
      </c>
      <c r="L167" s="100" t="s">
        <v>6</v>
      </c>
      <c r="M167" s="101" t="s">
        <v>7</v>
      </c>
      <c r="N167" s="100" t="s">
        <v>8</v>
      </c>
      <c r="O167" s="102" t="s">
        <v>9</v>
      </c>
      <c r="P167" s="102" t="s">
        <v>10</v>
      </c>
      <c r="Q167" s="99" t="s">
        <v>11</v>
      </c>
    </row>
    <row r="168" spans="1:17" s="183" customFormat="1" ht="15.75">
      <c r="A168" s="179"/>
      <c r="B168" s="180"/>
      <c r="C168" s="180"/>
      <c r="D168" s="181" t="s">
        <v>12</v>
      </c>
      <c r="E168" s="181" t="s">
        <v>13</v>
      </c>
      <c r="F168" s="177" t="s">
        <v>14</v>
      </c>
      <c r="G168" s="177" t="s">
        <v>14</v>
      </c>
      <c r="H168" s="180" t="s">
        <v>15</v>
      </c>
      <c r="I168" s="182"/>
      <c r="J168" s="179"/>
      <c r="K168" s="180"/>
      <c r="L168" s="180"/>
      <c r="M168" s="181" t="s">
        <v>12</v>
      </c>
      <c r="N168" s="181" t="s">
        <v>13</v>
      </c>
      <c r="O168" s="127" t="s">
        <v>391</v>
      </c>
      <c r="P168" s="109" t="s">
        <v>391</v>
      </c>
      <c r="Q168" s="180" t="s">
        <v>15</v>
      </c>
    </row>
    <row r="169" spans="1:17" s="121" customFormat="1" ht="15.75">
      <c r="A169" s="111">
        <v>1</v>
      </c>
      <c r="B169" s="23" t="s">
        <v>137</v>
      </c>
      <c r="C169" s="23">
        <v>18</v>
      </c>
      <c r="D169" s="42">
        <v>27.344</v>
      </c>
      <c r="E169" s="43">
        <v>42349</v>
      </c>
      <c r="F169" s="23">
        <v>8062630</v>
      </c>
      <c r="G169" s="22">
        <v>19107671</v>
      </c>
      <c r="H169" s="22">
        <v>80</v>
      </c>
      <c r="I169"/>
      <c r="J169" s="111">
        <v>1</v>
      </c>
      <c r="K169" s="23" t="s">
        <v>137</v>
      </c>
      <c r="L169" s="23">
        <v>19</v>
      </c>
      <c r="M169" s="23">
        <v>28.3405</v>
      </c>
      <c r="N169" s="43">
        <v>48100</v>
      </c>
      <c r="O169" s="23">
        <v>10822500</v>
      </c>
      <c r="P169" s="22">
        <v>3932014</v>
      </c>
      <c r="Q169" s="22">
        <v>10</v>
      </c>
    </row>
    <row r="170" spans="1:17" s="121" customFormat="1" ht="15.75">
      <c r="A170" s="111">
        <v>2</v>
      </c>
      <c r="B170" s="23" t="s">
        <v>157</v>
      </c>
      <c r="C170" s="23">
        <v>0</v>
      </c>
      <c r="D170" s="42">
        <v>0</v>
      </c>
      <c r="E170" s="43">
        <v>78471</v>
      </c>
      <c r="F170" s="23">
        <v>39235500</v>
      </c>
      <c r="G170" s="22">
        <v>10620765</v>
      </c>
      <c r="H170" s="22">
        <v>500</v>
      </c>
      <c r="I170"/>
      <c r="J170" s="111">
        <v>2</v>
      </c>
      <c r="K170" s="23" t="s">
        <v>125</v>
      </c>
      <c r="L170" s="23">
        <v>7</v>
      </c>
      <c r="M170" s="23">
        <v>7</v>
      </c>
      <c r="N170" s="43">
        <v>698935</v>
      </c>
      <c r="O170" s="23">
        <v>125808300</v>
      </c>
      <c r="P170" s="22">
        <v>9272592</v>
      </c>
      <c r="Q170" s="22">
        <v>150</v>
      </c>
    </row>
    <row r="171" spans="1:17" s="121" customFormat="1" ht="15.75">
      <c r="A171" s="111">
        <v>3</v>
      </c>
      <c r="B171" s="23" t="s">
        <v>140</v>
      </c>
      <c r="C171" s="23">
        <v>0</v>
      </c>
      <c r="D171" s="42">
        <v>0</v>
      </c>
      <c r="E171" s="43">
        <v>122671</v>
      </c>
      <c r="F171" s="23">
        <v>61335675</v>
      </c>
      <c r="G171" s="22">
        <v>4906854</v>
      </c>
      <c r="H171" s="22">
        <v>0</v>
      </c>
      <c r="I171"/>
      <c r="J171" s="111">
        <v>3</v>
      </c>
      <c r="K171" s="23" t="s">
        <v>123</v>
      </c>
      <c r="L171" s="23"/>
      <c r="M171" s="23"/>
      <c r="N171" s="43">
        <v>1219447</v>
      </c>
      <c r="O171" s="23">
        <v>170722580</v>
      </c>
      <c r="P171" s="22">
        <v>33206036</v>
      </c>
      <c r="Q171" s="22">
        <v>1400</v>
      </c>
    </row>
    <row r="172" spans="1:17" s="121" customFormat="1" ht="15.75">
      <c r="A172" s="167">
        <v>4</v>
      </c>
      <c r="B172" s="23" t="s">
        <v>124</v>
      </c>
      <c r="C172" s="23">
        <v>0</v>
      </c>
      <c r="D172" s="42">
        <v>0</v>
      </c>
      <c r="E172" s="43">
        <v>623</v>
      </c>
      <c r="F172" s="23">
        <v>747600</v>
      </c>
      <c r="G172" s="22">
        <v>262781</v>
      </c>
      <c r="H172" s="22">
        <v>20</v>
      </c>
      <c r="I172"/>
      <c r="J172" s="167">
        <v>4</v>
      </c>
      <c r="K172" s="23" t="s">
        <v>157</v>
      </c>
      <c r="L172" s="23"/>
      <c r="M172" s="23"/>
      <c r="N172" s="43">
        <v>28727</v>
      </c>
      <c r="O172" s="23">
        <v>18672550</v>
      </c>
      <c r="P172" s="22">
        <v>10313695</v>
      </c>
      <c r="Q172" s="22">
        <v>400</v>
      </c>
    </row>
    <row r="173" spans="1:17" s="121" customFormat="1" ht="15.75">
      <c r="A173" s="167">
        <v>5</v>
      </c>
      <c r="B173" s="23" t="s">
        <v>125</v>
      </c>
      <c r="C173" s="23">
        <v>6</v>
      </c>
      <c r="D173" s="42">
        <v>6</v>
      </c>
      <c r="E173" s="43">
        <v>944077</v>
      </c>
      <c r="F173" s="23">
        <v>84966930</v>
      </c>
      <c r="G173" s="22">
        <v>4004511</v>
      </c>
      <c r="H173" s="22">
        <v>1325</v>
      </c>
      <c r="I173"/>
      <c r="J173" s="167">
        <v>5</v>
      </c>
      <c r="K173" s="23" t="s">
        <v>140</v>
      </c>
      <c r="L173" s="23"/>
      <c r="M173" s="23"/>
      <c r="N173" s="43"/>
      <c r="O173" s="23"/>
      <c r="P173" s="22">
        <v>17319517</v>
      </c>
      <c r="Q173" s="22"/>
    </row>
    <row r="174" spans="1:17" s="121" customFormat="1" ht="15.75">
      <c r="A174" s="167">
        <v>6</v>
      </c>
      <c r="B174" s="23" t="s">
        <v>158</v>
      </c>
      <c r="C174" s="23">
        <v>0</v>
      </c>
      <c r="D174" s="42">
        <v>0</v>
      </c>
      <c r="E174" s="43">
        <v>1032</v>
      </c>
      <c r="F174" s="23">
        <v>67080</v>
      </c>
      <c r="G174" s="22">
        <v>386437</v>
      </c>
      <c r="H174" s="22">
        <v>10</v>
      </c>
      <c r="I174"/>
      <c r="J174" s="167">
        <v>6</v>
      </c>
      <c r="K174" s="23" t="s">
        <v>135</v>
      </c>
      <c r="L174" s="23"/>
      <c r="M174" s="23"/>
      <c r="N174" s="43">
        <v>77830</v>
      </c>
      <c r="O174" s="23">
        <v>9339600</v>
      </c>
      <c r="P174" s="22">
        <v>2084280</v>
      </c>
      <c r="Q174" s="22">
        <v>180</v>
      </c>
    </row>
    <row r="175" spans="1:17" s="121" customFormat="1" ht="15.75">
      <c r="A175" s="167">
        <v>7</v>
      </c>
      <c r="B175" s="23" t="s">
        <v>145</v>
      </c>
      <c r="C175" s="23">
        <v>0</v>
      </c>
      <c r="D175" s="42">
        <v>0</v>
      </c>
      <c r="E175" s="43">
        <v>2319360</v>
      </c>
      <c r="F175" s="23">
        <v>81177600</v>
      </c>
      <c r="G175" s="22">
        <v>9674621</v>
      </c>
      <c r="H175" s="22">
        <v>150</v>
      </c>
      <c r="I175"/>
      <c r="J175" s="167">
        <v>7</v>
      </c>
      <c r="K175" s="23" t="s">
        <v>145</v>
      </c>
      <c r="L175" s="23"/>
      <c r="M175" s="23"/>
      <c r="N175" s="43">
        <v>794200</v>
      </c>
      <c r="O175" s="23">
        <v>87362000</v>
      </c>
      <c r="P175" s="22">
        <v>1242737</v>
      </c>
      <c r="Q175" s="22">
        <v>140</v>
      </c>
    </row>
    <row r="176" spans="1:17" s="121" customFormat="1" ht="15.75">
      <c r="A176" s="167">
        <v>8</v>
      </c>
      <c r="B176" s="23" t="s">
        <v>135</v>
      </c>
      <c r="C176" s="23">
        <v>0</v>
      </c>
      <c r="D176" s="42">
        <v>0</v>
      </c>
      <c r="E176" s="43">
        <v>57225</v>
      </c>
      <c r="F176" s="23">
        <v>3719625</v>
      </c>
      <c r="G176" s="22">
        <v>498929</v>
      </c>
      <c r="H176" s="22">
        <v>160</v>
      </c>
      <c r="I176"/>
      <c r="J176" s="167">
        <v>8</v>
      </c>
      <c r="K176" s="23" t="s">
        <v>160</v>
      </c>
      <c r="L176" s="23"/>
      <c r="M176" s="23"/>
      <c r="N176" s="43">
        <v>50059</v>
      </c>
      <c r="O176" s="23">
        <v>9010620</v>
      </c>
      <c r="P176" s="22">
        <v>2225446</v>
      </c>
      <c r="Q176" s="22">
        <v>50</v>
      </c>
    </row>
    <row r="177" spans="1:17" s="121" customFormat="1" ht="15.75">
      <c r="A177" s="167">
        <v>9</v>
      </c>
      <c r="B177" s="23" t="s">
        <v>148</v>
      </c>
      <c r="C177" s="23">
        <v>0</v>
      </c>
      <c r="D177" s="42">
        <v>0</v>
      </c>
      <c r="E177" s="43">
        <v>31253</v>
      </c>
      <c r="F177" s="23">
        <v>2187710</v>
      </c>
      <c r="G177" s="22">
        <v>579604</v>
      </c>
      <c r="H177" s="22">
        <v>35</v>
      </c>
      <c r="I177"/>
      <c r="J177" s="167">
        <v>9</v>
      </c>
      <c r="K177" s="23" t="s">
        <v>148</v>
      </c>
      <c r="L177" s="23"/>
      <c r="M177" s="23"/>
      <c r="N177" s="43">
        <v>4650</v>
      </c>
      <c r="O177" s="23">
        <v>651000</v>
      </c>
      <c r="P177" s="22">
        <v>1069639</v>
      </c>
      <c r="Q177" s="22">
        <v>40</v>
      </c>
    </row>
    <row r="178" spans="1:17" s="121" customFormat="1" ht="15.75">
      <c r="A178" s="167">
        <v>10</v>
      </c>
      <c r="B178" s="23" t="s">
        <v>123</v>
      </c>
      <c r="C178" s="23">
        <v>0</v>
      </c>
      <c r="D178" s="42">
        <v>0</v>
      </c>
      <c r="E178" s="43">
        <v>552252</v>
      </c>
      <c r="F178" s="23">
        <v>30373860</v>
      </c>
      <c r="G178" s="22">
        <v>8736252</v>
      </c>
      <c r="H178" s="22">
        <v>310</v>
      </c>
      <c r="I178"/>
      <c r="J178" s="167">
        <v>10</v>
      </c>
      <c r="K178" s="23" t="s">
        <v>144</v>
      </c>
      <c r="L178" s="23"/>
      <c r="M178" s="23"/>
      <c r="N178" s="43">
        <v>229248</v>
      </c>
      <c r="O178" s="23">
        <v>25217280</v>
      </c>
      <c r="P178" s="22">
        <v>389722</v>
      </c>
      <c r="Q178" s="22">
        <v>50</v>
      </c>
    </row>
    <row r="179" spans="1:17" s="121" customFormat="1" ht="15.75">
      <c r="A179" s="167">
        <v>11</v>
      </c>
      <c r="B179" s="23" t="s">
        <v>159</v>
      </c>
      <c r="C179" s="23">
        <v>0</v>
      </c>
      <c r="D179" s="42">
        <v>0</v>
      </c>
      <c r="E179" s="43">
        <v>113909</v>
      </c>
      <c r="F179" s="23">
        <v>10251810</v>
      </c>
      <c r="G179" s="22">
        <v>1352421</v>
      </c>
      <c r="H179" s="22">
        <v>30</v>
      </c>
      <c r="I179"/>
      <c r="J179" s="167">
        <v>11</v>
      </c>
      <c r="K179" s="23" t="s">
        <v>124</v>
      </c>
      <c r="L179" s="23"/>
      <c r="M179" s="23"/>
      <c r="N179" s="43">
        <v>416</v>
      </c>
      <c r="O179" s="23">
        <v>624000</v>
      </c>
      <c r="P179" s="22">
        <v>3794469</v>
      </c>
      <c r="Q179" s="22">
        <v>50</v>
      </c>
    </row>
    <row r="180" spans="1:17" s="121" customFormat="1" ht="15.75">
      <c r="A180" s="167">
        <v>12</v>
      </c>
      <c r="B180" s="23" t="s">
        <v>144</v>
      </c>
      <c r="C180" s="23">
        <v>0</v>
      </c>
      <c r="D180" s="42">
        <v>0</v>
      </c>
      <c r="E180" s="43">
        <v>344303</v>
      </c>
      <c r="F180" s="23">
        <v>13772120</v>
      </c>
      <c r="G180" s="22">
        <v>579609</v>
      </c>
      <c r="H180" s="22">
        <v>40</v>
      </c>
      <c r="I180"/>
      <c r="J180" s="167">
        <v>12</v>
      </c>
      <c r="K180" s="23" t="s">
        <v>128</v>
      </c>
      <c r="L180" s="23"/>
      <c r="M180" s="23"/>
      <c r="N180" s="43"/>
      <c r="O180" s="23"/>
      <c r="P180" s="22">
        <v>4929695</v>
      </c>
      <c r="Q180" s="22"/>
    </row>
    <row r="181" spans="1:17" s="121" customFormat="1" ht="15.75">
      <c r="A181" s="167">
        <v>13</v>
      </c>
      <c r="B181" s="23" t="s">
        <v>128</v>
      </c>
      <c r="C181" s="23"/>
      <c r="D181" s="42"/>
      <c r="E181" s="43"/>
      <c r="F181" s="23"/>
      <c r="G181" s="22">
        <v>3117077</v>
      </c>
      <c r="H181" s="22"/>
      <c r="I181"/>
      <c r="J181" s="167">
        <v>13</v>
      </c>
      <c r="K181" s="16" t="s">
        <v>41</v>
      </c>
      <c r="L181" s="23"/>
      <c r="M181" s="42"/>
      <c r="N181" s="43"/>
      <c r="O181" s="23"/>
      <c r="P181" s="22">
        <v>1090437</v>
      </c>
      <c r="Q181" s="22"/>
    </row>
    <row r="182" spans="1:17" s="121" customFormat="1" ht="15.75">
      <c r="A182" s="167">
        <v>14</v>
      </c>
      <c r="B182" s="16" t="s">
        <v>41</v>
      </c>
      <c r="C182" s="23"/>
      <c r="D182" s="42"/>
      <c r="E182" s="43"/>
      <c r="F182" s="23"/>
      <c r="G182" s="22">
        <v>498404</v>
      </c>
      <c r="H182" s="22"/>
      <c r="I182"/>
      <c r="J182" s="167"/>
      <c r="L182" s="23"/>
      <c r="M182" s="42"/>
      <c r="N182" s="43"/>
      <c r="O182" s="23"/>
      <c r="P182" s="22"/>
      <c r="Q182" s="22"/>
    </row>
    <row r="183" spans="1:17" s="121" customFormat="1" ht="15.75">
      <c r="A183" s="112"/>
      <c r="B183" s="113" t="s">
        <v>129</v>
      </c>
      <c r="C183" s="113">
        <f aca="true" t="shared" si="25" ref="C183:H183">SUM(C169:C180)</f>
        <v>24</v>
      </c>
      <c r="D183" s="150">
        <f t="shared" si="25"/>
        <v>33.344</v>
      </c>
      <c r="E183" s="113">
        <f t="shared" si="25"/>
        <v>4607525</v>
      </c>
      <c r="F183" s="151">
        <f t="shared" si="25"/>
        <v>335898140</v>
      </c>
      <c r="G183" s="151">
        <f>SUM(G169:G182)</f>
        <v>64325936</v>
      </c>
      <c r="H183" s="117">
        <f t="shared" si="25"/>
        <v>2660</v>
      </c>
      <c r="I183"/>
      <c r="J183" s="112"/>
      <c r="K183" s="113" t="s">
        <v>129</v>
      </c>
      <c r="L183" s="113">
        <f>SUM(L169:L180)</f>
        <v>26</v>
      </c>
      <c r="M183" s="150">
        <f>SUM(M169:M180)</f>
        <v>35.3405</v>
      </c>
      <c r="N183" s="113">
        <f>SUM(N169:N180)</f>
        <v>3151612</v>
      </c>
      <c r="O183" s="151">
        <f>SUM(O169:O180)</f>
        <v>458230430</v>
      </c>
      <c r="P183" s="151">
        <f>SUM(P169:P182)</f>
        <v>90870279</v>
      </c>
      <c r="Q183" s="117">
        <f>SUM(Q169:Q180)</f>
        <v>2470</v>
      </c>
    </row>
    <row r="184" spans="1:17" ht="15.75">
      <c r="A184" s="118"/>
      <c r="B184" s="121"/>
      <c r="C184" s="12"/>
      <c r="D184" s="123"/>
      <c r="E184" s="123"/>
      <c r="F184" s="14"/>
      <c r="G184" s="14"/>
      <c r="H184" s="120"/>
      <c r="J184" s="118"/>
      <c r="K184" s="121"/>
      <c r="L184" s="12"/>
      <c r="M184" s="123"/>
      <c r="N184" s="123"/>
      <c r="O184" s="14"/>
      <c r="Q184" s="120"/>
    </row>
    <row r="185" spans="1:17" ht="15.75">
      <c r="A185" s="95"/>
      <c r="B185" s="39"/>
      <c r="C185" s="40"/>
      <c r="D185" s="135" t="s">
        <v>161</v>
      </c>
      <c r="E185" s="97"/>
      <c r="F185" s="41"/>
      <c r="G185" s="41"/>
      <c r="H185" s="98"/>
      <c r="J185" s="95"/>
      <c r="K185" s="39"/>
      <c r="L185" s="40"/>
      <c r="M185" s="135" t="s">
        <v>161</v>
      </c>
      <c r="N185" s="97"/>
      <c r="O185" s="41"/>
      <c r="P185" s="41"/>
      <c r="Q185" s="98"/>
    </row>
    <row r="186" spans="1:17" ht="15">
      <c r="A186" s="99" t="s">
        <v>121</v>
      </c>
      <c r="B186" s="100" t="s">
        <v>5</v>
      </c>
      <c r="C186" s="100" t="s">
        <v>6</v>
      </c>
      <c r="D186" s="101" t="s">
        <v>7</v>
      </c>
      <c r="E186" s="100" t="s">
        <v>8</v>
      </c>
      <c r="F186" s="102" t="s">
        <v>9</v>
      </c>
      <c r="G186" s="102" t="s">
        <v>10</v>
      </c>
      <c r="H186" s="99" t="s">
        <v>11</v>
      </c>
      <c r="J186" s="99" t="s">
        <v>121</v>
      </c>
      <c r="K186" s="100" t="s">
        <v>5</v>
      </c>
      <c r="L186" s="100" t="s">
        <v>6</v>
      </c>
      <c r="M186" s="101" t="s">
        <v>7</v>
      </c>
      <c r="N186" s="100" t="s">
        <v>8</v>
      </c>
      <c r="O186" s="102" t="s">
        <v>9</v>
      </c>
      <c r="P186" s="102" t="s">
        <v>10</v>
      </c>
      <c r="Q186" s="99" t="s">
        <v>11</v>
      </c>
    </row>
    <row r="187" spans="1:17" ht="15.75">
      <c r="A187" s="103"/>
      <c r="B187" s="104"/>
      <c r="C187" s="105"/>
      <c r="D187" s="106" t="s">
        <v>12</v>
      </c>
      <c r="E187" s="106" t="s">
        <v>13</v>
      </c>
      <c r="F187" s="109" t="s">
        <v>14</v>
      </c>
      <c r="G187" s="109" t="s">
        <v>14</v>
      </c>
      <c r="H187" s="108" t="s">
        <v>15</v>
      </c>
      <c r="J187" s="103"/>
      <c r="K187" s="104"/>
      <c r="L187" s="105"/>
      <c r="M187" s="106" t="s">
        <v>12</v>
      </c>
      <c r="N187" s="106" t="s">
        <v>13</v>
      </c>
      <c r="O187" s="127" t="s">
        <v>391</v>
      </c>
      <c r="P187" s="109" t="s">
        <v>391</v>
      </c>
      <c r="Q187" s="108" t="s">
        <v>15</v>
      </c>
    </row>
    <row r="188" spans="1:17" ht="15">
      <c r="A188" s="167">
        <v>1</v>
      </c>
      <c r="B188" s="23" t="s">
        <v>140</v>
      </c>
      <c r="C188" s="23">
        <v>141</v>
      </c>
      <c r="D188" s="42">
        <v>3332.903</v>
      </c>
      <c r="E188" s="43">
        <v>221925</v>
      </c>
      <c r="F188" s="23">
        <v>122058750</v>
      </c>
      <c r="G188" s="22">
        <v>43255000</v>
      </c>
      <c r="H188" s="22">
        <v>700</v>
      </c>
      <c r="J188" s="167">
        <v>1</v>
      </c>
      <c r="K188" s="23" t="s">
        <v>371</v>
      </c>
      <c r="L188" s="23">
        <v>128</v>
      </c>
      <c r="M188" s="42">
        <v>2094.44</v>
      </c>
      <c r="N188" s="375">
        <v>235557</v>
      </c>
      <c r="O188" s="366">
        <v>164889900</v>
      </c>
      <c r="P188" s="22">
        <v>165628000</v>
      </c>
      <c r="Q188" s="22">
        <v>750</v>
      </c>
    </row>
    <row r="189" spans="1:17" ht="15">
      <c r="A189" s="167">
        <v>2</v>
      </c>
      <c r="B189" s="23" t="s">
        <v>125</v>
      </c>
      <c r="C189" s="23">
        <v>28</v>
      </c>
      <c r="D189" s="42">
        <v>187.6312</v>
      </c>
      <c r="E189" s="43">
        <v>96235</v>
      </c>
      <c r="F189" s="23">
        <v>7698800</v>
      </c>
      <c r="G189" s="22">
        <v>6328000</v>
      </c>
      <c r="H189" s="22">
        <v>160</v>
      </c>
      <c r="J189" s="167">
        <v>2</v>
      </c>
      <c r="K189" s="23" t="s">
        <v>125</v>
      </c>
      <c r="L189" s="23">
        <v>27</v>
      </c>
      <c r="M189" s="42">
        <v>189.88</v>
      </c>
      <c r="N189" s="43">
        <v>81824</v>
      </c>
      <c r="O189" s="23">
        <v>8182400</v>
      </c>
      <c r="P189" s="22">
        <v>897000</v>
      </c>
      <c r="Q189" s="22">
        <v>150</v>
      </c>
    </row>
    <row r="190" spans="1:17" ht="15">
      <c r="A190" s="167">
        <v>3</v>
      </c>
      <c r="B190" s="23" t="s">
        <v>135</v>
      </c>
      <c r="C190" s="23"/>
      <c r="D190" s="42"/>
      <c r="E190" s="43">
        <v>425000</v>
      </c>
      <c r="F190" s="23">
        <v>276250000</v>
      </c>
      <c r="G190" s="22">
        <v>4534000</v>
      </c>
      <c r="H190" s="22">
        <v>544</v>
      </c>
      <c r="J190" s="167">
        <v>3</v>
      </c>
      <c r="K190" s="23" t="s">
        <v>135</v>
      </c>
      <c r="L190" s="23"/>
      <c r="M190" s="42"/>
      <c r="N190" s="43">
        <v>544425</v>
      </c>
      <c r="O190" s="23">
        <v>381097500</v>
      </c>
      <c r="P190" s="22">
        <v>9564000</v>
      </c>
      <c r="Q190" s="22">
        <v>720</v>
      </c>
    </row>
    <row r="191" spans="1:17" ht="15">
      <c r="A191" s="167">
        <v>4</v>
      </c>
      <c r="B191" s="23" t="s">
        <v>123</v>
      </c>
      <c r="C191" s="23"/>
      <c r="D191" s="42"/>
      <c r="E191" s="43">
        <v>9500</v>
      </c>
      <c r="F191" s="23">
        <f>E191*50</f>
        <v>475000</v>
      </c>
      <c r="G191" s="22">
        <v>95000</v>
      </c>
      <c r="H191" s="22"/>
      <c r="J191" s="167">
        <v>4</v>
      </c>
      <c r="K191" s="23" t="s">
        <v>123</v>
      </c>
      <c r="L191" s="23"/>
      <c r="M191" s="42"/>
      <c r="N191" s="43">
        <v>250000</v>
      </c>
      <c r="O191" s="20">
        <v>25000000</v>
      </c>
      <c r="P191" s="22">
        <v>4342000</v>
      </c>
      <c r="Q191" s="22"/>
    </row>
    <row r="192" spans="1:17" ht="15">
      <c r="A192" s="184">
        <v>5</v>
      </c>
      <c r="B192" s="23" t="s">
        <v>128</v>
      </c>
      <c r="C192" s="185"/>
      <c r="D192" s="186"/>
      <c r="E192" s="187"/>
      <c r="F192" s="185"/>
      <c r="G192" s="188">
        <v>2413000</v>
      </c>
      <c r="H192" s="188"/>
      <c r="J192" s="184">
        <v>5</v>
      </c>
      <c r="K192" s="23" t="s">
        <v>128</v>
      </c>
      <c r="L192" s="185"/>
      <c r="M192" s="186"/>
      <c r="N192" s="187"/>
      <c r="O192" s="185"/>
      <c r="P192" s="188">
        <v>3671000</v>
      </c>
      <c r="Q192" s="188"/>
    </row>
    <row r="193" spans="1:17" ht="15.75">
      <c r="A193" s="184">
        <v>6</v>
      </c>
      <c r="B193" s="16" t="s">
        <v>41</v>
      </c>
      <c r="C193" s="185"/>
      <c r="D193" s="186"/>
      <c r="E193" s="187"/>
      <c r="F193" s="185"/>
      <c r="G193" s="188">
        <v>1215000</v>
      </c>
      <c r="H193" s="188"/>
      <c r="J193" s="184">
        <v>6</v>
      </c>
      <c r="K193" s="16" t="s">
        <v>41</v>
      </c>
      <c r="L193" s="185"/>
      <c r="M193" s="186"/>
      <c r="N193" s="187"/>
      <c r="O193" s="185"/>
      <c r="P193" s="188">
        <v>4037000</v>
      </c>
      <c r="Q193" s="188"/>
    </row>
    <row r="194" spans="1:17" ht="15.75">
      <c r="A194" s="124"/>
      <c r="B194" s="158" t="s">
        <v>129</v>
      </c>
      <c r="C194" s="159">
        <f aca="true" t="shared" si="26" ref="C194:H194">SUM(C188:C191)</f>
        <v>169</v>
      </c>
      <c r="D194" s="160">
        <f t="shared" si="26"/>
        <v>3520.5341999999996</v>
      </c>
      <c r="E194" s="159">
        <f t="shared" si="26"/>
        <v>752660</v>
      </c>
      <c r="F194" s="161">
        <f t="shared" si="26"/>
        <v>406482550</v>
      </c>
      <c r="G194" s="189">
        <f>SUM(G188:G193)</f>
        <v>57840000</v>
      </c>
      <c r="H194" s="128">
        <f t="shared" si="26"/>
        <v>1404</v>
      </c>
      <c r="J194" s="124"/>
      <c r="K194" s="158" t="s">
        <v>129</v>
      </c>
      <c r="L194" s="159">
        <f>SUM(L188:L193)</f>
        <v>155</v>
      </c>
      <c r="M194" s="160">
        <f>SUM(M188:M192)</f>
        <v>2284.32</v>
      </c>
      <c r="N194" s="159">
        <f>SUM(N188:N193)</f>
        <v>1111806</v>
      </c>
      <c r="O194" s="161">
        <f>SUM(O188:O193)</f>
        <v>579169800</v>
      </c>
      <c r="P194" s="189">
        <f>SUM(P188:P193)</f>
        <v>188139000</v>
      </c>
      <c r="Q194" s="128">
        <f>SUM(Q188:Q191)</f>
        <v>1620</v>
      </c>
    </row>
    <row r="195" spans="1:17" ht="15.75">
      <c r="A195" s="152"/>
      <c r="B195" s="153"/>
      <c r="C195" s="154"/>
      <c r="D195" s="155"/>
      <c r="E195" s="155"/>
      <c r="F195" s="156"/>
      <c r="G195" s="156"/>
      <c r="H195" s="157"/>
      <c r="J195" s="152"/>
      <c r="K195" s="153"/>
      <c r="L195" s="154"/>
      <c r="M195" s="155"/>
      <c r="N195" s="155"/>
      <c r="O195" s="156"/>
      <c r="P195" s="156"/>
      <c r="Q195" s="157"/>
    </row>
    <row r="196" spans="1:17" ht="15.75">
      <c r="A196" s="95"/>
      <c r="B196" s="39"/>
      <c r="C196" s="40"/>
      <c r="D196" s="135" t="s">
        <v>69</v>
      </c>
      <c r="E196" s="97"/>
      <c r="F196" s="41"/>
      <c r="G196" s="41"/>
      <c r="H196" s="98"/>
      <c r="J196" s="95"/>
      <c r="K196" s="39"/>
      <c r="L196" s="40"/>
      <c r="M196" s="135" t="s">
        <v>69</v>
      </c>
      <c r="N196" s="97"/>
      <c r="O196" s="41"/>
      <c r="P196" s="41"/>
      <c r="Q196" s="98"/>
    </row>
    <row r="197" spans="1:18" ht="15">
      <c r="A197" s="99" t="s">
        <v>121</v>
      </c>
      <c r="B197" s="100" t="s">
        <v>5</v>
      </c>
      <c r="C197" s="100" t="s">
        <v>6</v>
      </c>
      <c r="D197" s="101" t="s">
        <v>7</v>
      </c>
      <c r="E197" s="100" t="s">
        <v>8</v>
      </c>
      <c r="F197" s="102" t="s">
        <v>9</v>
      </c>
      <c r="G197" s="102" t="s">
        <v>10</v>
      </c>
      <c r="H197" s="99" t="s">
        <v>11</v>
      </c>
      <c r="J197" s="99" t="s">
        <v>121</v>
      </c>
      <c r="K197" s="100" t="s">
        <v>5</v>
      </c>
      <c r="L197" s="100" t="s">
        <v>6</v>
      </c>
      <c r="M197" s="101" t="s">
        <v>7</v>
      </c>
      <c r="N197" s="100" t="s">
        <v>8</v>
      </c>
      <c r="O197" s="102" t="s">
        <v>9</v>
      </c>
      <c r="P197" s="102" t="s">
        <v>10</v>
      </c>
      <c r="Q197" s="99" t="s">
        <v>11</v>
      </c>
      <c r="R197" s="520"/>
    </row>
    <row r="198" spans="1:18" ht="15.75">
      <c r="A198" s="103"/>
      <c r="B198" s="104"/>
      <c r="C198" s="105"/>
      <c r="D198" s="106" t="s">
        <v>12</v>
      </c>
      <c r="E198" s="106" t="s">
        <v>13</v>
      </c>
      <c r="F198" s="109" t="s">
        <v>14</v>
      </c>
      <c r="G198" s="109" t="s">
        <v>14</v>
      </c>
      <c r="H198" s="108" t="s">
        <v>15</v>
      </c>
      <c r="J198" s="103"/>
      <c r="K198" s="104"/>
      <c r="L198" s="105"/>
      <c r="M198" s="106" t="s">
        <v>12</v>
      </c>
      <c r="N198" s="106" t="s">
        <v>13</v>
      </c>
      <c r="O198" s="127" t="s">
        <v>391</v>
      </c>
      <c r="P198" s="109" t="s">
        <v>391</v>
      </c>
      <c r="Q198" s="108" t="s">
        <v>15</v>
      </c>
      <c r="R198" s="520"/>
    </row>
    <row r="199" spans="1:18" ht="15">
      <c r="A199" s="110">
        <v>1</v>
      </c>
      <c r="B199" s="23" t="s">
        <v>123</v>
      </c>
      <c r="C199" s="23">
        <v>0</v>
      </c>
      <c r="D199" s="42">
        <v>0</v>
      </c>
      <c r="E199" s="43">
        <v>318654</v>
      </c>
      <c r="F199" s="23">
        <v>47798100</v>
      </c>
      <c r="G199" s="22">
        <v>289686</v>
      </c>
      <c r="H199" s="22">
        <v>100</v>
      </c>
      <c r="J199" s="110">
        <v>1</v>
      </c>
      <c r="K199" s="23" t="s">
        <v>162</v>
      </c>
      <c r="L199" s="23">
        <v>100</v>
      </c>
      <c r="M199" s="42">
        <v>117.04</v>
      </c>
      <c r="N199" s="43">
        <v>433551</v>
      </c>
      <c r="O199" s="23">
        <v>650326500</v>
      </c>
      <c r="P199" s="22">
        <v>84542658</v>
      </c>
      <c r="Q199" s="22">
        <v>1000</v>
      </c>
      <c r="R199" s="520"/>
    </row>
    <row r="200" spans="1:18" ht="15">
      <c r="A200" s="111">
        <f>+A199+1</f>
        <v>2</v>
      </c>
      <c r="B200" s="23" t="s">
        <v>125</v>
      </c>
      <c r="C200" s="23">
        <v>12</v>
      </c>
      <c r="D200" s="42">
        <v>12</v>
      </c>
      <c r="E200" s="43">
        <v>81836</v>
      </c>
      <c r="F200" s="23">
        <v>4091800</v>
      </c>
      <c r="G200" s="22">
        <v>743971</v>
      </c>
      <c r="H200" s="22">
        <v>50</v>
      </c>
      <c r="J200" s="111">
        <f>+J199+1</f>
        <v>2</v>
      </c>
      <c r="K200" s="23" t="s">
        <v>125</v>
      </c>
      <c r="L200" s="23">
        <v>12</v>
      </c>
      <c r="M200" s="42">
        <v>12</v>
      </c>
      <c r="N200" s="43">
        <v>110918</v>
      </c>
      <c r="O200" s="23">
        <v>11091800</v>
      </c>
      <c r="P200" s="22">
        <v>1885619</v>
      </c>
      <c r="Q200" s="22">
        <v>50</v>
      </c>
      <c r="R200" s="520"/>
    </row>
    <row r="201" spans="1:18" ht="15">
      <c r="A201" s="111">
        <f>+A200+1</f>
        <v>3</v>
      </c>
      <c r="B201" s="23" t="s">
        <v>133</v>
      </c>
      <c r="C201" s="23">
        <v>0</v>
      </c>
      <c r="D201" s="42">
        <v>0</v>
      </c>
      <c r="E201" s="43">
        <v>12899</v>
      </c>
      <c r="F201" s="23">
        <v>9674250</v>
      </c>
      <c r="G201" s="22">
        <v>732323</v>
      </c>
      <c r="H201" s="22">
        <v>150</v>
      </c>
      <c r="J201" s="111">
        <f>+J200+1</f>
        <v>3</v>
      </c>
      <c r="K201" s="23" t="s">
        <v>133</v>
      </c>
      <c r="L201" s="23"/>
      <c r="M201" s="42"/>
      <c r="N201" s="43">
        <v>21951</v>
      </c>
      <c r="O201" s="23">
        <v>16453250</v>
      </c>
      <c r="P201" s="22">
        <v>878059</v>
      </c>
      <c r="Q201" s="277">
        <v>100</v>
      </c>
      <c r="R201" s="62"/>
    </row>
    <row r="202" spans="1:17" ht="15">
      <c r="A202" s="111">
        <f>+A201+1</f>
        <v>4</v>
      </c>
      <c r="B202" s="23" t="s">
        <v>162</v>
      </c>
      <c r="C202" s="23">
        <v>119</v>
      </c>
      <c r="D202" s="42">
        <v>126.257</v>
      </c>
      <c r="E202" s="43">
        <v>125120.47</v>
      </c>
      <c r="F202" s="23">
        <v>19393672</v>
      </c>
      <c r="G202" s="22">
        <v>37872891</v>
      </c>
      <c r="H202" s="22">
        <v>1500</v>
      </c>
      <c r="J202" s="111">
        <f>+J201+1</f>
        <v>4</v>
      </c>
      <c r="K202" s="23" t="s">
        <v>123</v>
      </c>
      <c r="L202" s="23"/>
      <c r="M202" s="42"/>
      <c r="N202" s="43">
        <v>108722</v>
      </c>
      <c r="O202" s="23">
        <v>16308300</v>
      </c>
      <c r="P202" s="22">
        <v>2174446</v>
      </c>
      <c r="Q202" s="22">
        <v>100</v>
      </c>
    </row>
    <row r="203" spans="1:17" ht="15">
      <c r="A203" s="111">
        <v>5</v>
      </c>
      <c r="B203" s="23" t="s">
        <v>128</v>
      </c>
      <c r="C203" s="23"/>
      <c r="D203" s="42"/>
      <c r="E203" s="43"/>
      <c r="F203" s="23"/>
      <c r="G203" s="22">
        <v>4536995</v>
      </c>
      <c r="H203" s="22"/>
      <c r="J203" s="111">
        <v>5</v>
      </c>
      <c r="K203" s="23" t="s">
        <v>128</v>
      </c>
      <c r="L203" s="23"/>
      <c r="M203" s="42"/>
      <c r="N203" s="43"/>
      <c r="O203" s="23"/>
      <c r="P203" s="22">
        <v>9909038</v>
      </c>
      <c r="Q203" s="22"/>
    </row>
    <row r="204" spans="1:17" ht="15.75">
      <c r="A204" s="136">
        <v>6</v>
      </c>
      <c r="B204" s="16" t="s">
        <v>41</v>
      </c>
      <c r="C204" s="23"/>
      <c r="D204" s="42"/>
      <c r="E204" s="43"/>
      <c r="F204" s="23"/>
      <c r="G204" s="22">
        <f>21562860-76710</f>
        <v>21486150</v>
      </c>
      <c r="H204" s="22"/>
      <c r="J204" s="136">
        <v>6</v>
      </c>
      <c r="K204" s="16" t="s">
        <v>41</v>
      </c>
      <c r="L204" s="23"/>
      <c r="M204" s="42"/>
      <c r="N204" s="43"/>
      <c r="O204" s="23"/>
      <c r="P204" s="586">
        <v>32105805</v>
      </c>
      <c r="Q204" s="22"/>
    </row>
    <row r="205" spans="1:17" ht="15.75">
      <c r="A205" s="112"/>
      <c r="B205" s="113" t="s">
        <v>129</v>
      </c>
      <c r="C205" s="114">
        <f aca="true" t="shared" si="27" ref="C205:H205">SUM(C199:C204)</f>
        <v>131</v>
      </c>
      <c r="D205" s="115">
        <f t="shared" si="27"/>
        <v>138.257</v>
      </c>
      <c r="E205" s="114">
        <f t="shared" si="27"/>
        <v>538509.47</v>
      </c>
      <c r="F205" s="116">
        <f t="shared" si="27"/>
        <v>80957822</v>
      </c>
      <c r="G205" s="116">
        <f t="shared" si="27"/>
        <v>65662016</v>
      </c>
      <c r="H205" s="117">
        <f t="shared" si="27"/>
        <v>1800</v>
      </c>
      <c r="J205" s="112"/>
      <c r="K205" s="113" t="s">
        <v>129</v>
      </c>
      <c r="L205" s="114">
        <f aca="true" t="shared" si="28" ref="L205:Q205">SUM(L199:L204)</f>
        <v>112</v>
      </c>
      <c r="M205" s="115">
        <f t="shared" si="28"/>
        <v>129.04000000000002</v>
      </c>
      <c r="N205" s="114">
        <f t="shared" si="28"/>
        <v>675142</v>
      </c>
      <c r="O205" s="116">
        <f t="shared" si="28"/>
        <v>694179850</v>
      </c>
      <c r="P205" s="116">
        <f t="shared" si="28"/>
        <v>131495625</v>
      </c>
      <c r="Q205" s="117">
        <f t="shared" si="28"/>
        <v>1250</v>
      </c>
    </row>
    <row r="206" spans="1:17" ht="15.75">
      <c r="A206" s="118"/>
      <c r="B206" s="119"/>
      <c r="C206" s="49"/>
      <c r="D206" s="68"/>
      <c r="E206" s="68"/>
      <c r="F206" s="50"/>
      <c r="G206" s="50"/>
      <c r="H206" s="120"/>
      <c r="J206" s="118"/>
      <c r="K206" s="119"/>
      <c r="L206" s="49"/>
      <c r="M206" s="68"/>
      <c r="N206" s="68"/>
      <c r="O206" s="50"/>
      <c r="P206" s="50"/>
      <c r="Q206" s="120"/>
    </row>
    <row r="207" spans="1:17" ht="15.75">
      <c r="A207" s="95"/>
      <c r="B207" s="39"/>
      <c r="C207" s="40"/>
      <c r="D207" s="135" t="s">
        <v>71</v>
      </c>
      <c r="E207" s="97"/>
      <c r="F207" s="41"/>
      <c r="G207" s="41"/>
      <c r="H207" s="98"/>
      <c r="J207" s="95"/>
      <c r="K207" s="39"/>
      <c r="L207" s="40"/>
      <c r="M207" s="135" t="s">
        <v>71</v>
      </c>
      <c r="N207" s="97"/>
      <c r="O207" s="41"/>
      <c r="P207" s="41"/>
      <c r="Q207" s="98"/>
    </row>
    <row r="208" spans="1:17" ht="15">
      <c r="A208" s="99" t="s">
        <v>121</v>
      </c>
      <c r="B208" s="100" t="s">
        <v>5</v>
      </c>
      <c r="C208" s="100" t="s">
        <v>6</v>
      </c>
      <c r="D208" s="101" t="s">
        <v>7</v>
      </c>
      <c r="E208" s="100" t="s">
        <v>8</v>
      </c>
      <c r="F208" s="102" t="s">
        <v>9</v>
      </c>
      <c r="G208" s="102" t="s">
        <v>10</v>
      </c>
      <c r="H208" s="99" t="s">
        <v>11</v>
      </c>
      <c r="J208" s="99" t="s">
        <v>121</v>
      </c>
      <c r="K208" s="100" t="s">
        <v>5</v>
      </c>
      <c r="L208" s="100" t="s">
        <v>6</v>
      </c>
      <c r="M208" s="101" t="s">
        <v>7</v>
      </c>
      <c r="N208" s="100" t="s">
        <v>8</v>
      </c>
      <c r="O208" s="102" t="s">
        <v>9</v>
      </c>
      <c r="P208" s="102" t="s">
        <v>10</v>
      </c>
      <c r="Q208" s="99" t="s">
        <v>11</v>
      </c>
    </row>
    <row r="209" spans="1:17" ht="15.75">
      <c r="A209" s="103"/>
      <c r="B209" s="104"/>
      <c r="C209" s="105"/>
      <c r="D209" s="106" t="s">
        <v>12</v>
      </c>
      <c r="E209" s="106" t="s">
        <v>13</v>
      </c>
      <c r="F209" s="109" t="s">
        <v>14</v>
      </c>
      <c r="G209" s="109" t="s">
        <v>14</v>
      </c>
      <c r="H209" s="108" t="s">
        <v>15</v>
      </c>
      <c r="J209" s="103"/>
      <c r="K209" s="104"/>
      <c r="L209" s="105"/>
      <c r="M209" s="106" t="s">
        <v>12</v>
      </c>
      <c r="N209" s="106" t="s">
        <v>13</v>
      </c>
      <c r="O209" s="127" t="s">
        <v>391</v>
      </c>
      <c r="P209" s="109" t="s">
        <v>391</v>
      </c>
      <c r="Q209" s="108" t="s">
        <v>15</v>
      </c>
    </row>
    <row r="210" spans="1:17" ht="15">
      <c r="A210" s="110">
        <v>1</v>
      </c>
      <c r="B210" s="23" t="s">
        <v>137</v>
      </c>
      <c r="C210" s="23">
        <v>33</v>
      </c>
      <c r="D210" s="42">
        <v>5886.48</v>
      </c>
      <c r="E210" s="43">
        <v>1466114.18</v>
      </c>
      <c r="F210" s="23">
        <v>343505157.79999995</v>
      </c>
      <c r="G210" s="22">
        <v>96207664</v>
      </c>
      <c r="H210" s="22">
        <v>650</v>
      </c>
      <c r="J210" s="110">
        <v>1</v>
      </c>
      <c r="K210" s="23" t="s">
        <v>137</v>
      </c>
      <c r="L210" s="23">
        <v>44</v>
      </c>
      <c r="M210" s="42">
        <v>5926.48</v>
      </c>
      <c r="N210" s="43">
        <v>1371202</v>
      </c>
      <c r="O210" s="23">
        <v>299380031</v>
      </c>
      <c r="P210" s="22">
        <v>112470713</v>
      </c>
      <c r="Q210" s="22">
        <v>747</v>
      </c>
    </row>
    <row r="211" spans="1:17" ht="15">
      <c r="A211" s="111">
        <f>+A210+1</f>
        <v>2</v>
      </c>
      <c r="B211" s="23" t="s">
        <v>125</v>
      </c>
      <c r="C211" s="23">
        <v>85</v>
      </c>
      <c r="D211" s="42">
        <v>85</v>
      </c>
      <c r="E211" s="43">
        <v>334730</v>
      </c>
      <c r="F211" s="23">
        <v>20083800</v>
      </c>
      <c r="G211" s="22">
        <v>3618111</v>
      </c>
      <c r="H211" s="22">
        <v>510</v>
      </c>
      <c r="J211" s="111">
        <f>+J210+1</f>
        <v>2</v>
      </c>
      <c r="K211" s="23" t="s">
        <v>125</v>
      </c>
      <c r="L211" s="23">
        <v>105</v>
      </c>
      <c r="M211" s="42">
        <v>105</v>
      </c>
      <c r="N211" s="43">
        <v>633300</v>
      </c>
      <c r="O211" s="23">
        <v>37998000</v>
      </c>
      <c r="P211" s="22">
        <v>9666640</v>
      </c>
      <c r="Q211" s="22">
        <v>660</v>
      </c>
    </row>
    <row r="212" spans="1:17" ht="15.75">
      <c r="A212" s="111">
        <f>+A211+1</f>
        <v>3</v>
      </c>
      <c r="B212" s="23" t="s">
        <v>123</v>
      </c>
      <c r="C212" s="23">
        <v>0</v>
      </c>
      <c r="D212" s="42">
        <v>0</v>
      </c>
      <c r="E212" s="43">
        <v>614413</v>
      </c>
      <c r="F212" s="23">
        <v>24576520</v>
      </c>
      <c r="G212" s="22">
        <v>5384040</v>
      </c>
      <c r="H212" s="22">
        <v>180</v>
      </c>
      <c r="J212" s="111">
        <f>+J211+1</f>
        <v>3</v>
      </c>
      <c r="K212" s="2" t="s">
        <v>359</v>
      </c>
      <c r="L212" s="23">
        <v>2</v>
      </c>
      <c r="M212" s="42">
        <v>2</v>
      </c>
      <c r="N212" s="43"/>
      <c r="O212" s="23"/>
      <c r="P212" s="22">
        <v>16000</v>
      </c>
      <c r="Q212" s="22"/>
    </row>
    <row r="213" spans="1:17" ht="15">
      <c r="A213" s="111">
        <v>4</v>
      </c>
      <c r="B213" s="23" t="s">
        <v>128</v>
      </c>
      <c r="C213" s="23"/>
      <c r="D213" s="42"/>
      <c r="E213" s="43"/>
      <c r="F213" s="23"/>
      <c r="G213" s="22">
        <v>2022400</v>
      </c>
      <c r="H213" s="22"/>
      <c r="J213" s="111">
        <v>4</v>
      </c>
      <c r="K213" s="23" t="s">
        <v>123</v>
      </c>
      <c r="L213" s="23"/>
      <c r="M213" s="42"/>
      <c r="N213" s="43">
        <v>1558100</v>
      </c>
      <c r="O213" s="23">
        <v>77905000</v>
      </c>
      <c r="P213" s="22">
        <v>36091034</v>
      </c>
      <c r="Q213" s="22">
        <v>250</v>
      </c>
    </row>
    <row r="214" spans="1:17" ht="15">
      <c r="A214" s="111"/>
      <c r="B214" s="23"/>
      <c r="C214" s="23"/>
      <c r="D214" s="42"/>
      <c r="E214" s="43"/>
      <c r="F214" s="23"/>
      <c r="G214" s="22"/>
      <c r="H214" s="22"/>
      <c r="J214" s="111">
        <f>+J213+1</f>
        <v>5</v>
      </c>
      <c r="K214" s="23" t="s">
        <v>128</v>
      </c>
      <c r="L214" s="23"/>
      <c r="M214" s="42"/>
      <c r="N214" s="43"/>
      <c r="O214" s="23"/>
      <c r="P214" s="22">
        <v>1218424</v>
      </c>
      <c r="Q214" s="22"/>
    </row>
    <row r="215" spans="1:17" ht="15.75">
      <c r="A215" s="111">
        <v>5</v>
      </c>
      <c r="B215" s="16" t="s">
        <v>41</v>
      </c>
      <c r="C215" s="23"/>
      <c r="D215" s="42"/>
      <c r="E215" s="43"/>
      <c r="F215" s="23"/>
      <c r="G215" s="22">
        <v>720658</v>
      </c>
      <c r="H215" s="22"/>
      <c r="J215" s="111">
        <v>6</v>
      </c>
      <c r="K215" s="16" t="s">
        <v>41</v>
      </c>
      <c r="L215" s="23"/>
      <c r="M215" s="42"/>
      <c r="N215" s="43"/>
      <c r="O215" s="23"/>
      <c r="P215" s="22">
        <v>1386512</v>
      </c>
      <c r="Q215" s="22"/>
    </row>
    <row r="216" spans="1:17" ht="15.75">
      <c r="A216" s="124"/>
      <c r="B216" s="158" t="s">
        <v>129</v>
      </c>
      <c r="C216" s="159">
        <f aca="true" t="shared" si="29" ref="C216:H216">SUM(C210:C215)</f>
        <v>118</v>
      </c>
      <c r="D216" s="160">
        <f t="shared" si="29"/>
        <v>5971.48</v>
      </c>
      <c r="E216" s="159">
        <f t="shared" si="29"/>
        <v>2415257.1799999997</v>
      </c>
      <c r="F216" s="161">
        <f t="shared" si="29"/>
        <v>388165477.79999995</v>
      </c>
      <c r="G216" s="189">
        <f t="shared" si="29"/>
        <v>107952873</v>
      </c>
      <c r="H216" s="128">
        <f t="shared" si="29"/>
        <v>1340</v>
      </c>
      <c r="J216" s="124"/>
      <c r="K216" s="158" t="s">
        <v>129</v>
      </c>
      <c r="L216" s="159">
        <f aca="true" t="shared" si="30" ref="L216:Q216">SUM(L210:L215)</f>
        <v>151</v>
      </c>
      <c r="M216" s="160">
        <f t="shared" si="30"/>
        <v>6033.48</v>
      </c>
      <c r="N216" s="159">
        <f t="shared" si="30"/>
        <v>3562602</v>
      </c>
      <c r="O216" s="161">
        <f t="shared" si="30"/>
        <v>415283031</v>
      </c>
      <c r="P216" s="189">
        <f t="shared" si="30"/>
        <v>160849323</v>
      </c>
      <c r="Q216" s="128">
        <f t="shared" si="30"/>
        <v>1657</v>
      </c>
    </row>
    <row r="217" spans="1:17" ht="15.75">
      <c r="A217" s="152"/>
      <c r="B217" s="153"/>
      <c r="C217" s="154"/>
      <c r="D217" s="155"/>
      <c r="E217" s="155"/>
      <c r="F217" s="156"/>
      <c r="G217" s="156"/>
      <c r="H217" s="157"/>
      <c r="J217" s="152"/>
      <c r="K217" s="153"/>
      <c r="L217" s="154"/>
      <c r="M217" s="155"/>
      <c r="N217" s="155"/>
      <c r="O217" s="156"/>
      <c r="P217" s="156"/>
      <c r="Q217" s="157"/>
    </row>
    <row r="218" spans="1:17" ht="15.75">
      <c r="A218" s="95"/>
      <c r="B218" s="39"/>
      <c r="C218" s="40"/>
      <c r="D218" s="135" t="s">
        <v>75</v>
      </c>
      <c r="E218" s="97"/>
      <c r="F218" s="41"/>
      <c r="G218" s="41"/>
      <c r="H218" s="98"/>
      <c r="J218" s="95"/>
      <c r="K218" s="39"/>
      <c r="L218" s="40"/>
      <c r="M218" s="135" t="s">
        <v>75</v>
      </c>
      <c r="N218" s="97"/>
      <c r="O218" s="41"/>
      <c r="P218" s="41"/>
      <c r="Q218" s="98"/>
    </row>
    <row r="219" spans="1:17" ht="15">
      <c r="A219" s="99" t="s">
        <v>121</v>
      </c>
      <c r="B219" s="100" t="s">
        <v>5</v>
      </c>
      <c r="C219" s="100" t="s">
        <v>6</v>
      </c>
      <c r="D219" s="101" t="s">
        <v>7</v>
      </c>
      <c r="E219" s="100" t="s">
        <v>8</v>
      </c>
      <c r="F219" s="102" t="s">
        <v>9</v>
      </c>
      <c r="G219" s="102" t="s">
        <v>10</v>
      </c>
      <c r="H219" s="99" t="s">
        <v>11</v>
      </c>
      <c r="J219" s="99" t="s">
        <v>121</v>
      </c>
      <c r="K219" s="100" t="s">
        <v>5</v>
      </c>
      <c r="L219" s="100" t="s">
        <v>6</v>
      </c>
      <c r="M219" s="101" t="s">
        <v>7</v>
      </c>
      <c r="N219" s="100" t="s">
        <v>8</v>
      </c>
      <c r="O219" s="102" t="s">
        <v>9</v>
      </c>
      <c r="P219" s="102" t="s">
        <v>10</v>
      </c>
      <c r="Q219" s="99" t="s">
        <v>11</v>
      </c>
    </row>
    <row r="220" spans="1:17" ht="15.75">
      <c r="A220" s="103"/>
      <c r="B220" s="104"/>
      <c r="C220" s="105"/>
      <c r="D220" s="106" t="s">
        <v>12</v>
      </c>
      <c r="E220" s="106" t="s">
        <v>13</v>
      </c>
      <c r="F220" s="109" t="s">
        <v>14</v>
      </c>
      <c r="G220" s="109" t="s">
        <v>14</v>
      </c>
      <c r="H220" s="108" t="s">
        <v>15</v>
      </c>
      <c r="J220" s="103"/>
      <c r="K220" s="104"/>
      <c r="L220" s="105"/>
      <c r="M220" s="106" t="s">
        <v>12</v>
      </c>
      <c r="N220" s="106" t="s">
        <v>13</v>
      </c>
      <c r="O220" s="127" t="s">
        <v>391</v>
      </c>
      <c r="P220" s="109" t="s">
        <v>391</v>
      </c>
      <c r="Q220" s="108" t="s">
        <v>15</v>
      </c>
    </row>
    <row r="221" spans="1:17" ht="15">
      <c r="A221" s="190">
        <v>1</v>
      </c>
      <c r="B221" s="23" t="s">
        <v>124</v>
      </c>
      <c r="C221" s="23">
        <v>79</v>
      </c>
      <c r="D221" s="42">
        <v>218.87</v>
      </c>
      <c r="E221" s="43">
        <f>63468+6546</f>
        <v>70014</v>
      </c>
      <c r="F221" s="23">
        <v>31799468</v>
      </c>
      <c r="G221" s="22">
        <v>15454341</v>
      </c>
      <c r="H221" s="22">
        <v>790</v>
      </c>
      <c r="J221" s="190">
        <v>1</v>
      </c>
      <c r="K221" s="23" t="s">
        <v>124</v>
      </c>
      <c r="L221" s="23">
        <v>69</v>
      </c>
      <c r="M221" s="42">
        <v>241.29</v>
      </c>
      <c r="N221" s="43">
        <v>87741</v>
      </c>
      <c r="O221" s="23">
        <v>56932800</v>
      </c>
      <c r="P221" s="22">
        <v>14477000</v>
      </c>
      <c r="Q221" s="22">
        <v>165</v>
      </c>
    </row>
    <row r="222" spans="1:17" ht="15">
      <c r="A222" s="190">
        <v>2</v>
      </c>
      <c r="B222" s="23" t="s">
        <v>122</v>
      </c>
      <c r="C222" s="23">
        <v>122</v>
      </c>
      <c r="D222" s="42">
        <v>330.46</v>
      </c>
      <c r="E222" s="43">
        <f>133981+18790</f>
        <v>152771</v>
      </c>
      <c r="F222" s="23">
        <v>344347500</v>
      </c>
      <c r="G222" s="22">
        <v>24564565</v>
      </c>
      <c r="H222" s="22">
        <v>854</v>
      </c>
      <c r="J222" s="190">
        <v>2</v>
      </c>
      <c r="K222" s="23" t="s">
        <v>122</v>
      </c>
      <c r="L222" s="23">
        <v>116</v>
      </c>
      <c r="M222" s="42">
        <v>315.52</v>
      </c>
      <c r="N222" s="43">
        <v>304730</v>
      </c>
      <c r="O222" s="23">
        <v>980785000</v>
      </c>
      <c r="P222" s="22">
        <v>50040000</v>
      </c>
      <c r="Q222" s="22">
        <v>560</v>
      </c>
    </row>
    <row r="223" spans="1:17" ht="15">
      <c r="A223" s="190">
        <v>3</v>
      </c>
      <c r="B223" s="23" t="s">
        <v>157</v>
      </c>
      <c r="C223" s="23">
        <v>359</v>
      </c>
      <c r="D223" s="42">
        <v>359.56</v>
      </c>
      <c r="E223" s="43">
        <v>215728</v>
      </c>
      <c r="F223" s="23">
        <v>51774720</v>
      </c>
      <c r="G223" s="22">
        <v>18618568</v>
      </c>
      <c r="H223" s="22">
        <v>1800</v>
      </c>
      <c r="J223" s="190">
        <v>3</v>
      </c>
      <c r="K223" s="23" t="s">
        <v>157</v>
      </c>
      <c r="L223" s="23">
        <v>445</v>
      </c>
      <c r="M223" s="42">
        <v>445</v>
      </c>
      <c r="N223" s="43">
        <v>280033</v>
      </c>
      <c r="O223" s="23">
        <v>112013200</v>
      </c>
      <c r="P223" s="22">
        <v>33604000</v>
      </c>
      <c r="Q223" s="22">
        <v>2630</v>
      </c>
    </row>
    <row r="224" spans="1:17" ht="15">
      <c r="A224" s="190">
        <v>4</v>
      </c>
      <c r="B224" s="23" t="s">
        <v>125</v>
      </c>
      <c r="C224" s="23">
        <v>25</v>
      </c>
      <c r="D224" s="42">
        <v>27.18</v>
      </c>
      <c r="E224" s="43">
        <v>871724</v>
      </c>
      <c r="F224" s="23">
        <v>43586200</v>
      </c>
      <c r="G224" s="22">
        <v>13006430</v>
      </c>
      <c r="H224" s="22">
        <v>75</v>
      </c>
      <c r="J224" s="190">
        <v>4</v>
      </c>
      <c r="K224" s="23" t="s">
        <v>125</v>
      </c>
      <c r="L224" s="23">
        <v>37</v>
      </c>
      <c r="M224" s="42">
        <v>40</v>
      </c>
      <c r="N224" s="43">
        <v>595587</v>
      </c>
      <c r="O224" s="23">
        <v>23823480</v>
      </c>
      <c r="P224" s="22">
        <v>10108000</v>
      </c>
      <c r="Q224" s="22">
        <v>110</v>
      </c>
    </row>
    <row r="225" spans="1:17" ht="15">
      <c r="A225" s="190">
        <v>5</v>
      </c>
      <c r="B225" s="23" t="s">
        <v>139</v>
      </c>
      <c r="C225" s="23" t="s">
        <v>53</v>
      </c>
      <c r="D225" s="42" t="s">
        <v>53</v>
      </c>
      <c r="E225" s="43">
        <v>719270</v>
      </c>
      <c r="F225" s="23" t="s">
        <v>53</v>
      </c>
      <c r="G225" s="22">
        <v>10748760</v>
      </c>
      <c r="H225" s="22" t="s">
        <v>53</v>
      </c>
      <c r="J225" s="190">
        <v>5</v>
      </c>
      <c r="K225" s="23" t="s">
        <v>139</v>
      </c>
      <c r="L225" s="23"/>
      <c r="M225" s="42"/>
      <c r="N225" s="43">
        <v>483777</v>
      </c>
      <c r="O225" s="23">
        <v>24188850</v>
      </c>
      <c r="P225" s="22">
        <v>8708000</v>
      </c>
      <c r="Q225" s="22"/>
    </row>
    <row r="226" spans="1:17" ht="15">
      <c r="A226" s="190">
        <v>6</v>
      </c>
      <c r="B226" s="23" t="s">
        <v>123</v>
      </c>
      <c r="C226" s="23" t="s">
        <v>53</v>
      </c>
      <c r="D226" s="42" t="s">
        <v>53</v>
      </c>
      <c r="E226" s="43">
        <v>59732</v>
      </c>
      <c r="F226" s="23">
        <v>2986600</v>
      </c>
      <c r="G226" s="22">
        <v>977260</v>
      </c>
      <c r="H226" s="22" t="s">
        <v>53</v>
      </c>
      <c r="J226" s="190">
        <v>6</v>
      </c>
      <c r="K226" s="23" t="s">
        <v>123</v>
      </c>
      <c r="L226" s="23"/>
      <c r="M226" s="42"/>
      <c r="N226" s="43">
        <v>369500</v>
      </c>
      <c r="O226" s="20">
        <v>36950000</v>
      </c>
      <c r="P226" s="22">
        <v>6710000</v>
      </c>
      <c r="Q226" s="22"/>
    </row>
    <row r="227" spans="1:17" ht="15">
      <c r="A227" s="190">
        <v>7</v>
      </c>
      <c r="B227" s="23" t="s">
        <v>135</v>
      </c>
      <c r="C227" s="23" t="s">
        <v>53</v>
      </c>
      <c r="D227" s="42" t="s">
        <v>53</v>
      </c>
      <c r="E227" s="43">
        <v>22050</v>
      </c>
      <c r="F227" s="23">
        <v>11025000</v>
      </c>
      <c r="G227" s="22">
        <v>220500</v>
      </c>
      <c r="H227" s="22" t="s">
        <v>53</v>
      </c>
      <c r="J227" s="190">
        <v>7</v>
      </c>
      <c r="K227" s="23" t="s">
        <v>135</v>
      </c>
      <c r="L227" s="23"/>
      <c r="M227" s="42"/>
      <c r="N227" s="43">
        <v>30550</v>
      </c>
      <c r="O227" s="23">
        <v>12220000</v>
      </c>
      <c r="P227" s="22">
        <v>595000</v>
      </c>
      <c r="Q227" s="22"/>
    </row>
    <row r="228" spans="1:17" ht="15">
      <c r="A228" s="190"/>
      <c r="B228" s="23"/>
      <c r="C228" s="23"/>
      <c r="D228" s="42"/>
      <c r="E228" s="43"/>
      <c r="F228" s="23"/>
      <c r="G228" s="22"/>
      <c r="H228" s="22"/>
      <c r="J228" s="190">
        <v>8</v>
      </c>
      <c r="K228" s="23" t="s">
        <v>128</v>
      </c>
      <c r="L228" s="23"/>
      <c r="M228" s="42"/>
      <c r="N228" s="43"/>
      <c r="O228" s="23"/>
      <c r="P228" s="22">
        <v>19658000</v>
      </c>
      <c r="Q228" s="22"/>
    </row>
    <row r="229" spans="1:17" ht="15.75">
      <c r="A229" s="190">
        <v>8</v>
      </c>
      <c r="B229" s="16" t="s">
        <v>41</v>
      </c>
      <c r="C229" s="23" t="s">
        <v>53</v>
      </c>
      <c r="D229" s="42" t="s">
        <v>53</v>
      </c>
      <c r="E229" s="43"/>
      <c r="F229" s="23" t="s">
        <v>53</v>
      </c>
      <c r="G229" s="22">
        <v>1538643</v>
      </c>
      <c r="H229" s="22" t="s">
        <v>53</v>
      </c>
      <c r="J229" s="190">
        <v>9</v>
      </c>
      <c r="K229" s="16" t="s">
        <v>41</v>
      </c>
      <c r="L229" s="23"/>
      <c r="M229" s="42"/>
      <c r="N229" s="43"/>
      <c r="O229" s="23"/>
      <c r="P229" s="22">
        <v>11424252</v>
      </c>
      <c r="Q229" s="22"/>
    </row>
    <row r="230" spans="1:17" ht="15.75">
      <c r="A230" s="124"/>
      <c r="B230" s="158" t="s">
        <v>129</v>
      </c>
      <c r="C230" s="159">
        <f aca="true" t="shared" si="31" ref="C230:H230">SUM(C221:C229)</f>
        <v>585</v>
      </c>
      <c r="D230" s="160">
        <f t="shared" si="31"/>
        <v>936.0699999999998</v>
      </c>
      <c r="E230" s="159">
        <f t="shared" si="31"/>
        <v>2111289</v>
      </c>
      <c r="F230" s="161">
        <f t="shared" si="31"/>
        <v>485519488</v>
      </c>
      <c r="G230" s="161">
        <f t="shared" si="31"/>
        <v>85129067</v>
      </c>
      <c r="H230" s="128">
        <f t="shared" si="31"/>
        <v>3519</v>
      </c>
      <c r="J230" s="124"/>
      <c r="K230" s="158" t="s">
        <v>129</v>
      </c>
      <c r="L230" s="159">
        <f aca="true" t="shared" si="32" ref="L230:Q230">SUM(L221:L229)</f>
        <v>667</v>
      </c>
      <c r="M230" s="160">
        <f t="shared" si="32"/>
        <v>1041.81</v>
      </c>
      <c r="N230" s="159">
        <f t="shared" si="32"/>
        <v>2151918</v>
      </c>
      <c r="O230" s="161">
        <f t="shared" si="32"/>
        <v>1246913330</v>
      </c>
      <c r="P230" s="116">
        <f t="shared" si="32"/>
        <v>155324252</v>
      </c>
      <c r="Q230" s="128">
        <f t="shared" si="32"/>
        <v>3465</v>
      </c>
    </row>
    <row r="231" spans="1:17" ht="15.75">
      <c r="A231" s="152"/>
      <c r="B231" s="153"/>
      <c r="C231" s="154"/>
      <c r="D231" s="155"/>
      <c r="E231" s="155"/>
      <c r="F231" s="156"/>
      <c r="G231" s="156"/>
      <c r="H231" s="157"/>
      <c r="J231" s="152"/>
      <c r="K231" s="153"/>
      <c r="L231" s="154"/>
      <c r="M231" s="155"/>
      <c r="N231" s="155"/>
      <c r="O231" s="156"/>
      <c r="Q231" s="157"/>
    </row>
    <row r="232" spans="1:17" ht="15.75">
      <c r="A232" s="95"/>
      <c r="B232" s="39"/>
      <c r="C232" s="40"/>
      <c r="D232" s="135" t="s">
        <v>73</v>
      </c>
      <c r="E232" s="97"/>
      <c r="F232" s="41"/>
      <c r="G232" s="41"/>
      <c r="H232" s="98"/>
      <c r="J232" s="95"/>
      <c r="K232" s="39"/>
      <c r="L232" s="40"/>
      <c r="M232" s="135" t="s">
        <v>73</v>
      </c>
      <c r="N232" s="97"/>
      <c r="O232" s="41"/>
      <c r="P232" s="41"/>
      <c r="Q232" s="98"/>
    </row>
    <row r="233" spans="1:17" ht="15">
      <c r="A233" s="99" t="s">
        <v>121</v>
      </c>
      <c r="B233" s="100" t="s">
        <v>5</v>
      </c>
      <c r="C233" s="100" t="s">
        <v>6</v>
      </c>
      <c r="D233" s="101" t="s">
        <v>7</v>
      </c>
      <c r="E233" s="100" t="s">
        <v>8</v>
      </c>
      <c r="F233" s="102" t="s">
        <v>9</v>
      </c>
      <c r="G233" s="102" t="s">
        <v>10</v>
      </c>
      <c r="H233" s="99" t="s">
        <v>11</v>
      </c>
      <c r="J233" s="99" t="s">
        <v>121</v>
      </c>
      <c r="K233" s="100" t="s">
        <v>5</v>
      </c>
      <c r="L233" s="100" t="s">
        <v>6</v>
      </c>
      <c r="M233" s="101" t="s">
        <v>7</v>
      </c>
      <c r="N233" s="100" t="s">
        <v>8</v>
      </c>
      <c r="O233" s="102" t="s">
        <v>9</v>
      </c>
      <c r="P233" s="102" t="s">
        <v>10</v>
      </c>
      <c r="Q233" s="99" t="s">
        <v>11</v>
      </c>
    </row>
    <row r="234" spans="1:17" ht="15.75">
      <c r="A234" s="103"/>
      <c r="B234" s="104"/>
      <c r="C234" s="105"/>
      <c r="D234" s="106" t="s">
        <v>12</v>
      </c>
      <c r="E234" s="106" t="s">
        <v>13</v>
      </c>
      <c r="F234" s="109" t="s">
        <v>14</v>
      </c>
      <c r="G234" s="109" t="s">
        <v>14</v>
      </c>
      <c r="H234" s="108" t="s">
        <v>15</v>
      </c>
      <c r="J234" s="103"/>
      <c r="K234" s="104"/>
      <c r="L234" s="105"/>
      <c r="M234" s="106" t="s">
        <v>12</v>
      </c>
      <c r="N234" s="106" t="s">
        <v>13</v>
      </c>
      <c r="O234" s="127" t="s">
        <v>391</v>
      </c>
      <c r="P234" s="109" t="s">
        <v>391</v>
      </c>
      <c r="Q234" s="108" t="s">
        <v>15</v>
      </c>
    </row>
    <row r="235" spans="1:17" ht="15">
      <c r="A235" s="190">
        <v>1</v>
      </c>
      <c r="B235" s="23" t="s">
        <v>135</v>
      </c>
      <c r="C235" s="23"/>
      <c r="D235" s="42"/>
      <c r="E235" s="43">
        <v>2350500</v>
      </c>
      <c r="F235" s="23">
        <v>1175250000</v>
      </c>
      <c r="G235" s="22">
        <v>33541000</v>
      </c>
      <c r="H235" s="22">
        <v>4000</v>
      </c>
      <c r="J235" s="190">
        <v>1</v>
      </c>
      <c r="K235" s="23" t="s">
        <v>125</v>
      </c>
      <c r="L235" s="23">
        <v>881</v>
      </c>
      <c r="M235" s="23">
        <v>1002.73</v>
      </c>
      <c r="N235" s="43">
        <v>15911200</v>
      </c>
      <c r="O235" s="292">
        <v>795560000</v>
      </c>
      <c r="P235" s="22">
        <v>294917000</v>
      </c>
      <c r="Q235" s="22">
        <v>9500</v>
      </c>
    </row>
    <row r="236" spans="1:17" ht="15">
      <c r="A236" s="111">
        <v>2</v>
      </c>
      <c r="B236" s="23" t="s">
        <v>122</v>
      </c>
      <c r="C236" s="23">
        <v>2</v>
      </c>
      <c r="D236" s="42">
        <v>3.632</v>
      </c>
      <c r="E236" s="43">
        <v>375</v>
      </c>
      <c r="F236" s="23">
        <v>393750</v>
      </c>
      <c r="G236" s="22">
        <v>105000</v>
      </c>
      <c r="H236" s="22">
        <v>5</v>
      </c>
      <c r="J236" s="111">
        <v>2</v>
      </c>
      <c r="K236" s="23" t="s">
        <v>124</v>
      </c>
      <c r="L236" s="23">
        <v>27</v>
      </c>
      <c r="M236" s="23">
        <v>48.585</v>
      </c>
      <c r="N236" s="43">
        <v>351000</v>
      </c>
      <c r="O236" s="23">
        <v>214150000</v>
      </c>
      <c r="P236" s="22">
        <v>52015000</v>
      </c>
      <c r="Q236" s="22">
        <v>800</v>
      </c>
    </row>
    <row r="237" spans="1:17" ht="15">
      <c r="A237" s="111">
        <v>3</v>
      </c>
      <c r="B237" s="23" t="s">
        <v>123</v>
      </c>
      <c r="C237" s="23"/>
      <c r="D237" s="42"/>
      <c r="E237" s="43">
        <v>1040400</v>
      </c>
      <c r="F237" s="23">
        <v>31212000</v>
      </c>
      <c r="G237" s="22">
        <v>17196000</v>
      </c>
      <c r="H237" s="22">
        <v>4200</v>
      </c>
      <c r="J237" s="111">
        <v>3</v>
      </c>
      <c r="K237" s="23" t="s">
        <v>137</v>
      </c>
      <c r="L237" s="23">
        <v>6</v>
      </c>
      <c r="M237" s="23">
        <v>15.8368</v>
      </c>
      <c r="N237" s="43">
        <v>54500</v>
      </c>
      <c r="O237" s="23">
        <v>16350000</v>
      </c>
      <c r="P237" s="22">
        <v>967000</v>
      </c>
      <c r="Q237" s="22">
        <v>80</v>
      </c>
    </row>
    <row r="238" spans="1:17" ht="15">
      <c r="A238" s="111">
        <v>4</v>
      </c>
      <c r="B238" s="23" t="s">
        <v>137</v>
      </c>
      <c r="C238" s="23">
        <v>7</v>
      </c>
      <c r="D238" s="42">
        <v>18.1593</v>
      </c>
      <c r="E238" s="43"/>
      <c r="F238" s="23"/>
      <c r="G238" s="22">
        <v>744000</v>
      </c>
      <c r="H238" s="22"/>
      <c r="J238" s="111">
        <v>4</v>
      </c>
      <c r="K238" s="23" t="s">
        <v>122</v>
      </c>
      <c r="L238" s="23">
        <v>5</v>
      </c>
      <c r="M238" s="23">
        <v>10.632</v>
      </c>
      <c r="N238" s="43"/>
      <c r="O238" s="23"/>
      <c r="P238" s="22">
        <v>333000</v>
      </c>
      <c r="Q238" s="22">
        <v>4</v>
      </c>
    </row>
    <row r="239" spans="1:17" ht="15">
      <c r="A239" s="111">
        <v>5</v>
      </c>
      <c r="B239" s="23" t="s">
        <v>124</v>
      </c>
      <c r="C239" s="23">
        <v>33</v>
      </c>
      <c r="D239" s="42">
        <v>55.447</v>
      </c>
      <c r="E239" s="43">
        <v>11608</v>
      </c>
      <c r="F239" s="23">
        <v>9377600</v>
      </c>
      <c r="G239" s="22">
        <v>3682000</v>
      </c>
      <c r="H239" s="22">
        <v>90</v>
      </c>
      <c r="J239" s="111">
        <v>5</v>
      </c>
      <c r="K239" s="23" t="s">
        <v>135</v>
      </c>
      <c r="L239" s="23"/>
      <c r="M239" s="23"/>
      <c r="N239" s="43">
        <v>3700000</v>
      </c>
      <c r="O239" s="23">
        <v>1850000000</v>
      </c>
      <c r="P239" s="22">
        <v>67096000</v>
      </c>
      <c r="Q239" s="22">
        <v>6200</v>
      </c>
    </row>
    <row r="240" spans="1:17" ht="15">
      <c r="A240" s="111">
        <v>6</v>
      </c>
      <c r="B240" s="23" t="s">
        <v>125</v>
      </c>
      <c r="C240" s="23">
        <v>827</v>
      </c>
      <c r="D240" s="42">
        <v>947.65</v>
      </c>
      <c r="E240" s="43">
        <v>8031100</v>
      </c>
      <c r="F240" s="23">
        <v>321244000</v>
      </c>
      <c r="G240" s="22">
        <v>157934000</v>
      </c>
      <c r="H240" s="22">
        <v>3900</v>
      </c>
      <c r="J240" s="111">
        <v>6</v>
      </c>
      <c r="K240" s="23" t="s">
        <v>123</v>
      </c>
      <c r="L240" s="23"/>
      <c r="M240" s="23"/>
      <c r="N240" s="43">
        <v>2215000</v>
      </c>
      <c r="O240" s="23">
        <v>110750000</v>
      </c>
      <c r="P240" s="22">
        <v>47133000</v>
      </c>
      <c r="Q240" s="22">
        <v>6500</v>
      </c>
    </row>
    <row r="241" spans="1:17" ht="15">
      <c r="A241" s="111">
        <v>7</v>
      </c>
      <c r="B241" s="23" t="s">
        <v>41</v>
      </c>
      <c r="C241" s="23"/>
      <c r="D241" s="42"/>
      <c r="E241" s="43"/>
      <c r="F241" s="23"/>
      <c r="G241" s="22">
        <f>3653000+576000+750000</f>
        <v>4979000</v>
      </c>
      <c r="H241" s="22"/>
      <c r="J241" s="111">
        <v>7</v>
      </c>
      <c r="K241" s="23" t="s">
        <v>128</v>
      </c>
      <c r="L241" s="23"/>
      <c r="M241" s="23"/>
      <c r="N241" s="43"/>
      <c r="O241" s="23"/>
      <c r="P241" s="22">
        <v>95340000</v>
      </c>
      <c r="Q241" s="22"/>
    </row>
    <row r="242" spans="1:17" ht="15">
      <c r="A242" s="136">
        <v>8</v>
      </c>
      <c r="B242" s="23" t="s">
        <v>128</v>
      </c>
      <c r="C242" s="23"/>
      <c r="D242" s="42"/>
      <c r="E242" s="43"/>
      <c r="F242" s="23"/>
      <c r="G242" s="22">
        <v>56065000</v>
      </c>
      <c r="H242" s="22"/>
      <c r="J242" s="136">
        <v>8</v>
      </c>
      <c r="K242" s="23" t="s">
        <v>41</v>
      </c>
      <c r="L242" s="23"/>
      <c r="M242" s="23"/>
      <c r="N242" s="43"/>
      <c r="O242" s="23"/>
      <c r="P242" s="22">
        <v>79611000</v>
      </c>
      <c r="Q242" s="22"/>
    </row>
    <row r="243" spans="1:17" ht="15.75">
      <c r="A243" s="124"/>
      <c r="B243" s="191" t="s">
        <v>129</v>
      </c>
      <c r="C243" s="192">
        <f aca="true" t="shared" si="33" ref="C243:H243">SUM(C235:C242)</f>
        <v>869</v>
      </c>
      <c r="D243" s="191">
        <f t="shared" si="33"/>
        <v>1024.8883</v>
      </c>
      <c r="E243" s="192">
        <f t="shared" si="33"/>
        <v>11433983</v>
      </c>
      <c r="F243" s="192">
        <f t="shared" si="33"/>
        <v>1537477350</v>
      </c>
      <c r="G243" s="192">
        <f t="shared" si="33"/>
        <v>274246000</v>
      </c>
      <c r="H243" s="117">
        <f t="shared" si="33"/>
        <v>12195</v>
      </c>
      <c r="J243" s="124"/>
      <c r="K243" s="191" t="s">
        <v>129</v>
      </c>
      <c r="L243" s="192">
        <f aca="true" t="shared" si="34" ref="L243:Q243">SUM(L235:L242)</f>
        <v>919</v>
      </c>
      <c r="M243" s="191">
        <f t="shared" si="34"/>
        <v>1077.7838000000002</v>
      </c>
      <c r="N243" s="192">
        <f t="shared" si="34"/>
        <v>22231700</v>
      </c>
      <c r="O243" s="192">
        <f t="shared" si="34"/>
        <v>2986810000</v>
      </c>
      <c r="P243" s="192">
        <f t="shared" si="34"/>
        <v>637412000</v>
      </c>
      <c r="Q243" s="117">
        <f t="shared" si="34"/>
        <v>23084</v>
      </c>
    </row>
    <row r="244" spans="1:17" ht="15.75">
      <c r="A244" s="152"/>
      <c r="B244" s="153"/>
      <c r="C244" s="154"/>
      <c r="D244" s="155"/>
      <c r="E244" s="155"/>
      <c r="F244" s="156"/>
      <c r="G244" s="156"/>
      <c r="H244" s="193"/>
      <c r="J244" s="152"/>
      <c r="K244" s="153"/>
      <c r="L244" s="154"/>
      <c r="M244" s="155"/>
      <c r="N244" s="155"/>
      <c r="O244" s="156"/>
      <c r="P244" s="156"/>
      <c r="Q244" s="193"/>
    </row>
    <row r="245" spans="1:17" ht="15.75">
      <c r="A245" s="95"/>
      <c r="B245" s="39"/>
      <c r="C245" s="40"/>
      <c r="D245" s="135" t="s">
        <v>79</v>
      </c>
      <c r="E245" s="97"/>
      <c r="F245" s="41"/>
      <c r="G245" s="41"/>
      <c r="H245" s="98"/>
      <c r="J245" s="118"/>
      <c r="K245" s="255"/>
      <c r="L245" s="40"/>
      <c r="M245" s="135" t="s">
        <v>79</v>
      </c>
      <c r="N245" s="97"/>
      <c r="O245" s="41"/>
      <c r="P245" s="41"/>
      <c r="Q245" s="98"/>
    </row>
    <row r="246" spans="1:17" ht="15">
      <c r="A246" s="99" t="s">
        <v>121</v>
      </c>
      <c r="B246" s="100" t="s">
        <v>5</v>
      </c>
      <c r="C246" s="100" t="s">
        <v>6</v>
      </c>
      <c r="D246" s="101" t="s">
        <v>7</v>
      </c>
      <c r="E246" s="100" t="s">
        <v>8</v>
      </c>
      <c r="F246" s="102" t="s">
        <v>9</v>
      </c>
      <c r="G246" s="102" t="s">
        <v>10</v>
      </c>
      <c r="H246" s="99" t="s">
        <v>11</v>
      </c>
      <c r="J246" s="386" t="s">
        <v>121</v>
      </c>
      <c r="K246" s="387" t="s">
        <v>5</v>
      </c>
      <c r="L246" s="383" t="s">
        <v>6</v>
      </c>
      <c r="M246" s="101" t="s">
        <v>7</v>
      </c>
      <c r="N246" s="100" t="s">
        <v>8</v>
      </c>
      <c r="O246" s="102" t="s">
        <v>9</v>
      </c>
      <c r="P246" s="102" t="s">
        <v>10</v>
      </c>
      <c r="Q246" s="99" t="s">
        <v>11</v>
      </c>
    </row>
    <row r="247" spans="1:17" ht="15.75">
      <c r="A247" s="103"/>
      <c r="B247" s="104"/>
      <c r="C247" s="105"/>
      <c r="D247" s="106" t="s">
        <v>12</v>
      </c>
      <c r="E247" s="106" t="s">
        <v>13</v>
      </c>
      <c r="F247" s="109" t="s">
        <v>14</v>
      </c>
      <c r="G247" s="109" t="s">
        <v>14</v>
      </c>
      <c r="H247" s="108" t="s">
        <v>15</v>
      </c>
      <c r="J247" s="384"/>
      <c r="K247" s="385"/>
      <c r="L247" s="105"/>
      <c r="M247" s="106" t="s">
        <v>12</v>
      </c>
      <c r="N247" s="106" t="s">
        <v>13</v>
      </c>
      <c r="O247" s="127" t="s">
        <v>391</v>
      </c>
      <c r="P247" s="109" t="s">
        <v>391</v>
      </c>
      <c r="Q247" s="108" t="s">
        <v>15</v>
      </c>
    </row>
    <row r="248" spans="1:17" ht="15">
      <c r="A248" s="190">
        <v>1</v>
      </c>
      <c r="B248" s="23" t="s">
        <v>122</v>
      </c>
      <c r="C248" s="23">
        <v>353</v>
      </c>
      <c r="D248" s="42">
        <v>692.66</v>
      </c>
      <c r="E248" s="43">
        <v>102250</v>
      </c>
      <c r="F248" s="23">
        <f>E248*700</f>
        <v>71575000</v>
      </c>
      <c r="G248" s="22">
        <v>44653000</v>
      </c>
      <c r="H248" s="22">
        <v>1830</v>
      </c>
      <c r="J248" s="190">
        <v>1</v>
      </c>
      <c r="K248" s="23" t="s">
        <v>122</v>
      </c>
      <c r="L248" s="23">
        <v>341</v>
      </c>
      <c r="M248" s="42">
        <v>675.66</v>
      </c>
      <c r="N248" s="293">
        <v>1979344</v>
      </c>
      <c r="O248" s="291">
        <v>2969016000</v>
      </c>
      <c r="P248" s="291">
        <v>115414000</v>
      </c>
      <c r="Q248" s="22">
        <v>2451</v>
      </c>
    </row>
    <row r="249" spans="1:17" ht="15">
      <c r="A249" s="111">
        <v>2</v>
      </c>
      <c r="B249" s="23" t="s">
        <v>123</v>
      </c>
      <c r="C249" s="23"/>
      <c r="D249" s="42"/>
      <c r="E249" s="43"/>
      <c r="F249" s="23"/>
      <c r="G249" s="22"/>
      <c r="H249" s="22"/>
      <c r="J249" s="111">
        <v>2</v>
      </c>
      <c r="K249" s="23" t="s">
        <v>123</v>
      </c>
      <c r="L249" s="23"/>
      <c r="M249" s="42"/>
      <c r="N249" s="293">
        <v>48431600</v>
      </c>
      <c r="O249" s="292">
        <v>484316000</v>
      </c>
      <c r="P249" s="291">
        <v>48431600</v>
      </c>
      <c r="Q249" s="22">
        <v>1600</v>
      </c>
    </row>
    <row r="250" spans="1:17" ht="15">
      <c r="A250" s="190">
        <v>3</v>
      </c>
      <c r="B250" s="23" t="s">
        <v>125</v>
      </c>
      <c r="C250" s="23">
        <v>176</v>
      </c>
      <c r="D250" s="42">
        <v>177.43</v>
      </c>
      <c r="E250" s="43">
        <v>7220</v>
      </c>
      <c r="F250" s="23">
        <v>361000</v>
      </c>
      <c r="G250" s="22">
        <v>17430500</v>
      </c>
      <c r="H250" s="22">
        <v>1000</v>
      </c>
      <c r="J250" s="190">
        <v>3</v>
      </c>
      <c r="K250" s="23" t="s">
        <v>125</v>
      </c>
      <c r="L250" s="23">
        <v>248</v>
      </c>
      <c r="M250" s="42">
        <v>249.43</v>
      </c>
      <c r="N250" s="293">
        <v>270358</v>
      </c>
      <c r="O250" s="292">
        <v>108143200</v>
      </c>
      <c r="P250" s="291">
        <v>51223000</v>
      </c>
      <c r="Q250" s="22">
        <v>1358</v>
      </c>
    </row>
    <row r="251" spans="1:17" ht="15">
      <c r="A251" s="190"/>
      <c r="B251" s="23"/>
      <c r="C251" s="23"/>
      <c r="D251" s="42"/>
      <c r="E251" s="43"/>
      <c r="F251" s="23"/>
      <c r="G251" s="22"/>
      <c r="H251" s="22"/>
      <c r="J251" s="111">
        <v>4</v>
      </c>
      <c r="K251" s="23" t="s">
        <v>166</v>
      </c>
      <c r="L251" s="23"/>
      <c r="M251" s="42"/>
      <c r="N251" s="293"/>
      <c r="O251" s="292"/>
      <c r="P251" s="291"/>
      <c r="Q251" s="22"/>
    </row>
    <row r="252" spans="1:17" ht="15">
      <c r="A252" s="111">
        <v>4</v>
      </c>
      <c r="B252" s="23" t="s">
        <v>128</v>
      </c>
      <c r="C252" s="23"/>
      <c r="D252" s="42"/>
      <c r="E252" s="43"/>
      <c r="F252" s="23"/>
      <c r="G252" s="22">
        <v>14043200</v>
      </c>
      <c r="H252" s="22"/>
      <c r="J252" s="111">
        <v>5</v>
      </c>
      <c r="K252" s="23" t="s">
        <v>128</v>
      </c>
      <c r="L252" s="23"/>
      <c r="M252" s="42"/>
      <c r="N252" s="341"/>
      <c r="O252" s="380"/>
      <c r="P252" s="382">
        <v>27746000</v>
      </c>
      <c r="Q252" s="22"/>
    </row>
    <row r="253" spans="1:17" ht="15">
      <c r="A253" s="190">
        <v>5</v>
      </c>
      <c r="B253" s="23" t="s">
        <v>41</v>
      </c>
      <c r="C253" s="23"/>
      <c r="D253" s="42"/>
      <c r="E253" s="43"/>
      <c r="F253" s="23"/>
      <c r="G253" s="22">
        <f>16282500+3332300</f>
        <v>19614800</v>
      </c>
      <c r="H253" s="22"/>
      <c r="J253" s="111">
        <v>6</v>
      </c>
      <c r="K253" s="23" t="s">
        <v>41</v>
      </c>
      <c r="L253" s="23"/>
      <c r="M253" s="42"/>
      <c r="N253" s="341"/>
      <c r="O253" s="380"/>
      <c r="P253" s="382">
        <v>73340400</v>
      </c>
      <c r="Q253" s="22"/>
    </row>
    <row r="254" spans="1:17" ht="15.75">
      <c r="A254" s="112"/>
      <c r="B254" s="194" t="s">
        <v>129</v>
      </c>
      <c r="C254" s="195">
        <f aca="true" t="shared" si="35" ref="C254:H254">SUM(C248:C253)</f>
        <v>529</v>
      </c>
      <c r="D254" s="194">
        <f t="shared" si="35"/>
        <v>870.0899999999999</v>
      </c>
      <c r="E254" s="194">
        <f t="shared" si="35"/>
        <v>109470</v>
      </c>
      <c r="F254" s="195">
        <f t="shared" si="35"/>
        <v>71936000</v>
      </c>
      <c r="G254" s="195">
        <f t="shared" si="35"/>
        <v>95741500</v>
      </c>
      <c r="H254" s="117">
        <f t="shared" si="35"/>
        <v>2830</v>
      </c>
      <c r="J254" s="112"/>
      <c r="K254" s="194" t="s">
        <v>129</v>
      </c>
      <c r="L254" s="196">
        <f aca="true" t="shared" si="36" ref="L254:Q254">SUM(L248:L253)</f>
        <v>589</v>
      </c>
      <c r="M254" s="197">
        <f t="shared" si="36"/>
        <v>925.0899999999999</v>
      </c>
      <c r="N254" s="196">
        <f t="shared" si="36"/>
        <v>50681302</v>
      </c>
      <c r="O254" s="196">
        <f t="shared" si="36"/>
        <v>3561475200</v>
      </c>
      <c r="P254" s="196">
        <f t="shared" si="36"/>
        <v>316155000</v>
      </c>
      <c r="Q254" s="196">
        <f t="shared" si="36"/>
        <v>5409</v>
      </c>
    </row>
    <row r="255" spans="2:16" ht="15.75">
      <c r="B255" s="7"/>
      <c r="C255" s="7"/>
      <c r="D255" s="198"/>
      <c r="E255" s="7"/>
      <c r="F255" s="62"/>
      <c r="G255" s="62"/>
      <c r="K255" s="7"/>
      <c r="L255" s="7"/>
      <c r="M255" s="198"/>
      <c r="N255" s="7"/>
      <c r="O255" s="62"/>
      <c r="P255" s="62"/>
    </row>
    <row r="256" spans="1:17" ht="15.75">
      <c r="A256" s="95"/>
      <c r="B256" s="39"/>
      <c r="C256" s="40"/>
      <c r="D256" s="135" t="s">
        <v>163</v>
      </c>
      <c r="E256" s="97"/>
      <c r="F256" s="41"/>
      <c r="G256" s="41"/>
      <c r="H256" s="98"/>
      <c r="J256" s="95"/>
      <c r="K256" s="39"/>
      <c r="L256" s="40"/>
      <c r="M256" s="135" t="s">
        <v>163</v>
      </c>
      <c r="N256" s="97"/>
      <c r="O256" s="41"/>
      <c r="P256" s="41"/>
      <c r="Q256" s="98"/>
    </row>
    <row r="257" spans="1:17" ht="15">
      <c r="A257" s="99" t="s">
        <v>121</v>
      </c>
      <c r="B257" s="100" t="s">
        <v>5</v>
      </c>
      <c r="C257" s="100" t="s">
        <v>6</v>
      </c>
      <c r="D257" s="101" t="s">
        <v>7</v>
      </c>
      <c r="E257" s="100" t="s">
        <v>8</v>
      </c>
      <c r="F257" s="102" t="s">
        <v>9</v>
      </c>
      <c r="G257" s="102" t="s">
        <v>10</v>
      </c>
      <c r="H257" s="99" t="s">
        <v>11</v>
      </c>
      <c r="J257" s="99" t="s">
        <v>121</v>
      </c>
      <c r="K257" s="100" t="s">
        <v>5</v>
      </c>
      <c r="L257" s="100" t="s">
        <v>6</v>
      </c>
      <c r="M257" s="101" t="s">
        <v>7</v>
      </c>
      <c r="N257" s="100" t="s">
        <v>8</v>
      </c>
      <c r="O257" s="102" t="s">
        <v>9</v>
      </c>
      <c r="P257" s="102" t="s">
        <v>10</v>
      </c>
      <c r="Q257" s="99" t="s">
        <v>11</v>
      </c>
    </row>
    <row r="258" spans="1:17" ht="15.75">
      <c r="A258" s="103"/>
      <c r="B258" s="104"/>
      <c r="C258" s="105"/>
      <c r="D258" s="106" t="s">
        <v>12</v>
      </c>
      <c r="E258" s="106" t="s">
        <v>13</v>
      </c>
      <c r="F258" s="109" t="s">
        <v>14</v>
      </c>
      <c r="G258" s="109" t="s">
        <v>14</v>
      </c>
      <c r="H258" s="108" t="s">
        <v>15</v>
      </c>
      <c r="J258" s="103"/>
      <c r="K258" s="104"/>
      <c r="L258" s="105"/>
      <c r="M258" s="106" t="s">
        <v>12</v>
      </c>
      <c r="N258" s="106" t="s">
        <v>13</v>
      </c>
      <c r="O258" s="127" t="s">
        <v>391</v>
      </c>
      <c r="P258" s="109" t="s">
        <v>391</v>
      </c>
      <c r="Q258" s="108" t="s">
        <v>15</v>
      </c>
    </row>
    <row r="259" spans="1:17" ht="15">
      <c r="A259" s="110">
        <v>1</v>
      </c>
      <c r="B259" s="23" t="s">
        <v>164</v>
      </c>
      <c r="C259" s="23">
        <v>5</v>
      </c>
      <c r="D259" s="42">
        <v>5.01</v>
      </c>
      <c r="E259" s="43">
        <v>260</v>
      </c>
      <c r="F259" s="23">
        <v>156000</v>
      </c>
      <c r="G259" s="22">
        <v>148430</v>
      </c>
      <c r="H259" s="22">
        <v>8</v>
      </c>
      <c r="J259" s="110">
        <v>1</v>
      </c>
      <c r="K259" s="23" t="s">
        <v>140</v>
      </c>
      <c r="L259" s="314">
        <v>52</v>
      </c>
      <c r="M259" s="315">
        <v>86.69</v>
      </c>
      <c r="N259" s="316">
        <v>22251</v>
      </c>
      <c r="O259" s="317">
        <v>17800800</v>
      </c>
      <c r="P259" s="318">
        <v>4923412</v>
      </c>
      <c r="Q259" s="319">
        <v>190</v>
      </c>
    </row>
    <row r="260" spans="1:17" ht="15">
      <c r="A260" s="110">
        <v>2</v>
      </c>
      <c r="B260" s="23" t="s">
        <v>136</v>
      </c>
      <c r="C260" s="23">
        <v>1</v>
      </c>
      <c r="D260" s="42">
        <v>5</v>
      </c>
      <c r="E260" s="43"/>
      <c r="F260" s="23"/>
      <c r="G260" s="22">
        <v>6400</v>
      </c>
      <c r="H260" s="22">
        <v>0</v>
      </c>
      <c r="J260" s="110">
        <v>2</v>
      </c>
      <c r="K260" s="23" t="s">
        <v>125</v>
      </c>
      <c r="L260" s="317">
        <v>34</v>
      </c>
      <c r="M260" s="320">
        <v>34.5</v>
      </c>
      <c r="N260" s="316">
        <v>2119248</v>
      </c>
      <c r="O260" s="317">
        <v>529812000</v>
      </c>
      <c r="P260" s="318">
        <v>45919781</v>
      </c>
      <c r="Q260" s="319">
        <v>2300</v>
      </c>
    </row>
    <row r="261" spans="1:17" ht="15">
      <c r="A261" s="110">
        <v>3</v>
      </c>
      <c r="B261" s="23" t="s">
        <v>123</v>
      </c>
      <c r="C261" s="23"/>
      <c r="D261" s="42"/>
      <c r="E261" s="43">
        <v>1399122</v>
      </c>
      <c r="F261" s="23">
        <v>83947320</v>
      </c>
      <c r="G261" s="22">
        <v>10669754</v>
      </c>
      <c r="H261" s="22">
        <v>650</v>
      </c>
      <c r="J261" s="110">
        <v>3</v>
      </c>
      <c r="K261" s="23" t="s">
        <v>164</v>
      </c>
      <c r="L261" s="317">
        <v>4</v>
      </c>
      <c r="M261" s="320">
        <v>4.01</v>
      </c>
      <c r="N261" s="316">
        <v>10160</v>
      </c>
      <c r="O261" s="317">
        <v>8128000</v>
      </c>
      <c r="P261" s="318">
        <v>851170</v>
      </c>
      <c r="Q261" s="319">
        <v>14</v>
      </c>
    </row>
    <row r="262" spans="1:17" ht="15">
      <c r="A262" s="110">
        <v>4</v>
      </c>
      <c r="B262" s="23" t="s">
        <v>137</v>
      </c>
      <c r="C262" s="23">
        <v>2</v>
      </c>
      <c r="D262" s="42">
        <v>2</v>
      </c>
      <c r="E262" s="43"/>
      <c r="F262" s="23"/>
      <c r="G262" s="22">
        <v>33250</v>
      </c>
      <c r="H262" s="22">
        <v>0</v>
      </c>
      <c r="J262" s="110">
        <v>4</v>
      </c>
      <c r="K262" s="23" t="s">
        <v>165</v>
      </c>
      <c r="L262" s="314">
        <v>61</v>
      </c>
      <c r="M262" s="315">
        <v>259.31</v>
      </c>
      <c r="N262" s="316">
        <v>1759296</v>
      </c>
      <c r="O262" s="317">
        <v>1583366400</v>
      </c>
      <c r="P262" s="318">
        <v>9031161</v>
      </c>
      <c r="Q262" s="319">
        <v>1795</v>
      </c>
    </row>
    <row r="263" spans="1:17" ht="15">
      <c r="A263" s="110">
        <v>5</v>
      </c>
      <c r="B263" s="23" t="s">
        <v>165</v>
      </c>
      <c r="C263" s="23">
        <v>44</v>
      </c>
      <c r="D263" s="42">
        <v>209.8</v>
      </c>
      <c r="E263" s="43">
        <v>1094217</v>
      </c>
      <c r="F263" s="23">
        <v>711241050</v>
      </c>
      <c r="G263" s="22">
        <v>6172140</v>
      </c>
      <c r="H263" s="22">
        <v>1107</v>
      </c>
      <c r="J263" s="110">
        <v>5</v>
      </c>
      <c r="K263" s="23" t="s">
        <v>137</v>
      </c>
      <c r="L263" s="314">
        <v>1</v>
      </c>
      <c r="M263" s="315">
        <v>1</v>
      </c>
      <c r="N263" s="316"/>
      <c r="O263" s="317"/>
      <c r="P263" s="318"/>
      <c r="Q263" s="319"/>
    </row>
    <row r="264" spans="1:17" ht="15">
      <c r="A264" s="110">
        <v>6</v>
      </c>
      <c r="B264" s="23" t="s">
        <v>125</v>
      </c>
      <c r="C264" s="23">
        <v>26</v>
      </c>
      <c r="D264" s="42">
        <v>26.5</v>
      </c>
      <c r="E264" s="43">
        <v>1506695</v>
      </c>
      <c r="F264" s="23">
        <v>90401700</v>
      </c>
      <c r="G264" s="22">
        <v>16917081</v>
      </c>
      <c r="H264" s="22">
        <v>2000</v>
      </c>
      <c r="J264" s="110">
        <v>6</v>
      </c>
      <c r="K264" s="23" t="s">
        <v>123</v>
      </c>
      <c r="L264" s="314"/>
      <c r="M264" s="315"/>
      <c r="N264" s="316">
        <v>1371480</v>
      </c>
      <c r="O264" s="317">
        <v>342870000</v>
      </c>
      <c r="P264" s="318">
        <v>26634877</v>
      </c>
      <c r="Q264" s="319">
        <v>600</v>
      </c>
    </row>
    <row r="265" spans="1:17" ht="15">
      <c r="A265" s="110">
        <v>7</v>
      </c>
      <c r="B265" s="23" t="s">
        <v>148</v>
      </c>
      <c r="C265" s="23"/>
      <c r="D265" s="42"/>
      <c r="E265" s="43">
        <v>964496</v>
      </c>
      <c r="F265" s="23">
        <v>57869760</v>
      </c>
      <c r="G265" s="22">
        <v>5593795</v>
      </c>
      <c r="H265" s="22">
        <v>750</v>
      </c>
      <c r="J265" s="110">
        <v>7</v>
      </c>
      <c r="K265" s="23" t="s">
        <v>355</v>
      </c>
      <c r="L265" s="317"/>
      <c r="M265" s="320"/>
      <c r="N265" s="555">
        <v>2194864</v>
      </c>
      <c r="O265" s="553">
        <v>109743200</v>
      </c>
      <c r="P265" s="318">
        <v>12555173</v>
      </c>
      <c r="Q265" s="319">
        <v>560</v>
      </c>
    </row>
    <row r="266" spans="1:17" ht="15">
      <c r="A266" s="110">
        <v>8</v>
      </c>
      <c r="B266" s="23" t="s">
        <v>140</v>
      </c>
      <c r="C266" s="23">
        <v>61</v>
      </c>
      <c r="D266" s="42">
        <v>95.84</v>
      </c>
      <c r="E266" s="43">
        <v>21254</v>
      </c>
      <c r="F266" s="23">
        <v>10627000</v>
      </c>
      <c r="G266" s="22">
        <v>9169408</v>
      </c>
      <c r="H266" s="22">
        <v>450</v>
      </c>
      <c r="J266" s="110">
        <v>8</v>
      </c>
      <c r="K266" s="23" t="s">
        <v>128</v>
      </c>
      <c r="L266" s="314"/>
      <c r="M266" s="315"/>
      <c r="N266" s="316"/>
      <c r="O266" s="317"/>
      <c r="P266" s="318">
        <v>26202822</v>
      </c>
      <c r="Q266" s="319"/>
    </row>
    <row r="267" spans="1:17" ht="15.75">
      <c r="A267" s="110">
        <v>9</v>
      </c>
      <c r="B267" s="23" t="s">
        <v>128</v>
      </c>
      <c r="C267" s="23"/>
      <c r="D267" s="42"/>
      <c r="E267" s="43"/>
      <c r="F267" s="23"/>
      <c r="G267" s="22">
        <v>20069354</v>
      </c>
      <c r="H267" s="22"/>
      <c r="J267" s="110">
        <v>9</v>
      </c>
      <c r="K267" s="16" t="s">
        <v>41</v>
      </c>
      <c r="L267" s="317"/>
      <c r="M267" s="320"/>
      <c r="N267" s="316"/>
      <c r="O267" s="317"/>
      <c r="P267" s="318">
        <v>11966066</v>
      </c>
      <c r="Q267" s="319"/>
    </row>
    <row r="268" spans="1:17" ht="15.75">
      <c r="A268" s="112"/>
      <c r="B268" s="113" t="s">
        <v>129</v>
      </c>
      <c r="C268" s="114">
        <f aca="true" t="shared" si="37" ref="C268:H268">SUM(C259:C267)</f>
        <v>139</v>
      </c>
      <c r="D268" s="115">
        <f t="shared" si="37"/>
        <v>344.15</v>
      </c>
      <c r="E268" s="114">
        <f t="shared" si="37"/>
        <v>4986044</v>
      </c>
      <c r="F268" s="116">
        <f t="shared" si="37"/>
        <v>954242830</v>
      </c>
      <c r="G268" s="116">
        <f t="shared" si="37"/>
        <v>68779612</v>
      </c>
      <c r="H268" s="117">
        <f t="shared" si="37"/>
        <v>4965</v>
      </c>
      <c r="J268" s="112"/>
      <c r="K268" s="113" t="s">
        <v>129</v>
      </c>
      <c r="L268" s="114">
        <f aca="true" t="shared" si="38" ref="L268:Q268">SUM(L259:L267)</f>
        <v>152</v>
      </c>
      <c r="M268" s="115">
        <f t="shared" si="38"/>
        <v>385.51</v>
      </c>
      <c r="N268" s="114">
        <f t="shared" si="38"/>
        <v>7477299</v>
      </c>
      <c r="O268" s="116">
        <f t="shared" si="38"/>
        <v>2591720400</v>
      </c>
      <c r="P268" s="116">
        <f t="shared" si="38"/>
        <v>138084462</v>
      </c>
      <c r="Q268" s="116">
        <f t="shared" si="38"/>
        <v>5459</v>
      </c>
    </row>
    <row r="269" spans="1:17" ht="15.75">
      <c r="A269" s="118"/>
      <c r="B269" s="121"/>
      <c r="C269" s="12"/>
      <c r="D269" s="123"/>
      <c r="E269" s="123"/>
      <c r="F269" s="14"/>
      <c r="G269" s="14"/>
      <c r="H269" s="120"/>
      <c r="J269" s="118"/>
      <c r="K269" s="121"/>
      <c r="L269" s="12"/>
      <c r="M269" s="123"/>
      <c r="N269" s="123"/>
      <c r="O269" s="14"/>
      <c r="P269" s="14"/>
      <c r="Q269" s="120"/>
    </row>
    <row r="270" spans="1:17" ht="15.75">
      <c r="A270" s="95"/>
      <c r="B270" s="39"/>
      <c r="C270" s="40"/>
      <c r="D270" s="135" t="s">
        <v>81</v>
      </c>
      <c r="E270" s="97"/>
      <c r="F270" s="41"/>
      <c r="G270" s="41"/>
      <c r="H270" s="98"/>
      <c r="J270" s="95"/>
      <c r="K270" s="39"/>
      <c r="L270" s="40"/>
      <c r="M270" s="135" t="s">
        <v>81</v>
      </c>
      <c r="N270" s="97"/>
      <c r="O270" s="41"/>
      <c r="P270" s="41"/>
      <c r="Q270" s="98"/>
    </row>
    <row r="271" spans="1:17" ht="15">
      <c r="A271" s="99" t="s">
        <v>121</v>
      </c>
      <c r="B271" s="100" t="s">
        <v>5</v>
      </c>
      <c r="C271" s="100" t="s">
        <v>6</v>
      </c>
      <c r="D271" s="101" t="s">
        <v>7</v>
      </c>
      <c r="E271" s="100" t="s">
        <v>8</v>
      </c>
      <c r="F271" s="102" t="s">
        <v>9</v>
      </c>
      <c r="G271" s="102" t="s">
        <v>10</v>
      </c>
      <c r="H271" s="99" t="s">
        <v>11</v>
      </c>
      <c r="J271" s="99" t="s">
        <v>121</v>
      </c>
      <c r="K271" s="100" t="s">
        <v>5</v>
      </c>
      <c r="L271" s="100" t="s">
        <v>6</v>
      </c>
      <c r="M271" s="101" t="s">
        <v>7</v>
      </c>
      <c r="N271" s="100" t="s">
        <v>8</v>
      </c>
      <c r="O271" s="102" t="s">
        <v>9</v>
      </c>
      <c r="P271" s="102" t="s">
        <v>10</v>
      </c>
      <c r="Q271" s="99" t="s">
        <v>11</v>
      </c>
    </row>
    <row r="272" spans="1:17" ht="15.75">
      <c r="A272" s="103"/>
      <c r="B272" s="104"/>
      <c r="C272" s="105"/>
      <c r="D272" s="106" t="s">
        <v>12</v>
      </c>
      <c r="E272" s="106" t="s">
        <v>13</v>
      </c>
      <c r="F272" s="109" t="s">
        <v>14</v>
      </c>
      <c r="G272" s="109" t="s">
        <v>14</v>
      </c>
      <c r="H272" s="108" t="s">
        <v>15</v>
      </c>
      <c r="J272" s="103"/>
      <c r="K272" s="104"/>
      <c r="L272" s="105"/>
      <c r="M272" s="106" t="s">
        <v>12</v>
      </c>
      <c r="N272" s="106" t="s">
        <v>13</v>
      </c>
      <c r="O272" s="127" t="s">
        <v>391</v>
      </c>
      <c r="P272" s="109" t="s">
        <v>391</v>
      </c>
      <c r="Q272" s="108" t="s">
        <v>15</v>
      </c>
    </row>
    <row r="273" spans="1:17" ht="15">
      <c r="A273" s="111">
        <v>1</v>
      </c>
      <c r="B273" s="23" t="s">
        <v>135</v>
      </c>
      <c r="C273" s="23">
        <v>6</v>
      </c>
      <c r="D273" s="42">
        <v>6</v>
      </c>
      <c r="E273" s="43">
        <v>120</v>
      </c>
      <c r="F273" s="23">
        <v>60000</v>
      </c>
      <c r="G273" s="22">
        <v>32000</v>
      </c>
      <c r="H273" s="22">
        <v>8</v>
      </c>
      <c r="J273" s="111">
        <v>1</v>
      </c>
      <c r="K273" s="23" t="s">
        <v>137</v>
      </c>
      <c r="L273" s="23">
        <v>103</v>
      </c>
      <c r="M273" s="23">
        <v>1340.58</v>
      </c>
      <c r="N273" s="43">
        <v>986800</v>
      </c>
      <c r="O273" s="23">
        <v>98680000</v>
      </c>
      <c r="P273" s="22">
        <v>64142000</v>
      </c>
      <c r="Q273" s="22">
        <v>668</v>
      </c>
    </row>
    <row r="274" spans="1:17" ht="15">
      <c r="A274" s="111">
        <f>+A273+1</f>
        <v>2</v>
      </c>
      <c r="B274" s="23" t="s">
        <v>122</v>
      </c>
      <c r="C274" s="23">
        <v>23</v>
      </c>
      <c r="D274" s="42">
        <v>35.1</v>
      </c>
      <c r="E274" s="43">
        <v>7650</v>
      </c>
      <c r="F274" s="23">
        <v>6120000</v>
      </c>
      <c r="G274" s="22">
        <v>1253635</v>
      </c>
      <c r="H274" s="22">
        <v>61</v>
      </c>
      <c r="J274" s="111">
        <f>+J273+1</f>
        <v>2</v>
      </c>
      <c r="K274" s="23" t="s">
        <v>166</v>
      </c>
      <c r="L274" s="23">
        <v>186</v>
      </c>
      <c r="M274" s="23">
        <v>186</v>
      </c>
      <c r="N274" s="43">
        <v>1075823</v>
      </c>
      <c r="O274" s="23">
        <v>80686725</v>
      </c>
      <c r="P274" s="22">
        <v>18289000</v>
      </c>
      <c r="Q274" s="22">
        <v>558</v>
      </c>
    </row>
    <row r="275" spans="1:17" ht="15">
      <c r="A275" s="111">
        <v>3</v>
      </c>
      <c r="B275" s="23" t="s">
        <v>123</v>
      </c>
      <c r="C275" s="23"/>
      <c r="D275" s="42"/>
      <c r="E275" s="43">
        <v>2843825</v>
      </c>
      <c r="F275" s="23">
        <v>170629500</v>
      </c>
      <c r="G275" s="22">
        <v>28438250</v>
      </c>
      <c r="H275" s="22"/>
      <c r="J275" s="111">
        <v>3</v>
      </c>
      <c r="K275" s="23" t="s">
        <v>122</v>
      </c>
      <c r="L275" s="23">
        <v>23</v>
      </c>
      <c r="M275" s="23">
        <v>34.1</v>
      </c>
      <c r="N275" s="43">
        <v>5463</v>
      </c>
      <c r="O275" s="23">
        <v>4370400</v>
      </c>
      <c r="P275" s="22">
        <v>2126000</v>
      </c>
      <c r="Q275" s="22">
        <v>75</v>
      </c>
    </row>
    <row r="276" spans="1:17" ht="15">
      <c r="A276" s="111">
        <f>+A275+1</f>
        <v>4</v>
      </c>
      <c r="B276" s="23" t="s">
        <v>137</v>
      </c>
      <c r="C276" s="23">
        <v>79</v>
      </c>
      <c r="D276" s="42">
        <v>1286.83</v>
      </c>
      <c r="E276" s="43">
        <v>981861</v>
      </c>
      <c r="F276" s="23">
        <v>98186100</v>
      </c>
      <c r="G276" s="22">
        <v>51952735</v>
      </c>
      <c r="H276" s="22">
        <v>500</v>
      </c>
      <c r="J276" s="111">
        <f>+J275+1</f>
        <v>4</v>
      </c>
      <c r="K276" s="23" t="s">
        <v>140</v>
      </c>
      <c r="L276" s="23">
        <v>26</v>
      </c>
      <c r="M276" s="23">
        <v>26</v>
      </c>
      <c r="N276" s="43">
        <v>5778414</v>
      </c>
      <c r="O276" s="23">
        <v>1444603500</v>
      </c>
      <c r="P276" s="22">
        <v>360490000</v>
      </c>
      <c r="Q276" s="22">
        <v>32000</v>
      </c>
    </row>
    <row r="277" spans="1:17" ht="15">
      <c r="A277" s="111">
        <v>5</v>
      </c>
      <c r="B277" s="23" t="s">
        <v>125</v>
      </c>
      <c r="C277" s="23">
        <v>69</v>
      </c>
      <c r="D277" s="42">
        <v>69</v>
      </c>
      <c r="E277" s="43">
        <v>415342</v>
      </c>
      <c r="F277" s="23">
        <v>31150650</v>
      </c>
      <c r="G277" s="22">
        <v>4513548</v>
      </c>
      <c r="H277" s="22">
        <v>470</v>
      </c>
      <c r="J277" s="111">
        <v>5</v>
      </c>
      <c r="K277" s="23" t="s">
        <v>125</v>
      </c>
      <c r="L277" s="23">
        <v>74</v>
      </c>
      <c r="M277" s="23">
        <v>74</v>
      </c>
      <c r="N277" s="43">
        <v>921295</v>
      </c>
      <c r="O277" s="23">
        <v>69097125</v>
      </c>
      <c r="P277" s="22">
        <v>15558000</v>
      </c>
      <c r="Q277" s="22">
        <v>465</v>
      </c>
    </row>
    <row r="278" spans="1:17" ht="15">
      <c r="A278" s="111"/>
      <c r="B278" s="23" t="s">
        <v>124</v>
      </c>
      <c r="C278" s="23">
        <v>2</v>
      </c>
      <c r="D278" s="42">
        <v>8</v>
      </c>
      <c r="E278" s="43"/>
      <c r="F278" s="23"/>
      <c r="G278" s="22">
        <v>75000</v>
      </c>
      <c r="H278" s="22"/>
      <c r="J278" s="110">
        <v>6</v>
      </c>
      <c r="K278" s="23" t="s">
        <v>135</v>
      </c>
      <c r="L278" s="23">
        <v>9</v>
      </c>
      <c r="M278" s="23">
        <v>9</v>
      </c>
      <c r="N278" s="43"/>
      <c r="O278" s="23"/>
      <c r="P278" s="22">
        <v>60000</v>
      </c>
      <c r="Q278" s="22"/>
    </row>
    <row r="279" spans="1:17" ht="15">
      <c r="A279" s="111">
        <v>6</v>
      </c>
      <c r="B279" s="23" t="s">
        <v>166</v>
      </c>
      <c r="C279" s="23">
        <v>90</v>
      </c>
      <c r="D279" s="42">
        <v>90</v>
      </c>
      <c r="E279" s="43">
        <v>1014426</v>
      </c>
      <c r="F279" s="23">
        <v>76081950</v>
      </c>
      <c r="G279" s="22">
        <v>9999839</v>
      </c>
      <c r="H279" s="22">
        <v>490</v>
      </c>
      <c r="J279" s="110">
        <v>7</v>
      </c>
      <c r="K279" s="23" t="s">
        <v>123</v>
      </c>
      <c r="L279" s="23"/>
      <c r="M279" s="23"/>
      <c r="N279" s="43">
        <v>4357412</v>
      </c>
      <c r="O279" s="23">
        <v>261444720</v>
      </c>
      <c r="P279" s="22">
        <v>76861000</v>
      </c>
      <c r="Q279" s="22"/>
    </row>
    <row r="280" spans="1:17" ht="15">
      <c r="A280" s="111">
        <v>7</v>
      </c>
      <c r="B280" s="23" t="s">
        <v>140</v>
      </c>
      <c r="C280" s="23">
        <v>21</v>
      </c>
      <c r="D280" s="42">
        <v>23</v>
      </c>
      <c r="E280" s="43">
        <v>3469637</v>
      </c>
      <c r="F280" s="23">
        <v>867409250</v>
      </c>
      <c r="G280" s="22">
        <v>169533202</v>
      </c>
      <c r="H280" s="22">
        <v>32000</v>
      </c>
      <c r="J280" s="110">
        <v>8</v>
      </c>
      <c r="K280" s="23" t="s">
        <v>124</v>
      </c>
      <c r="L280" s="23">
        <v>2</v>
      </c>
      <c r="M280" s="23">
        <v>8</v>
      </c>
      <c r="N280" s="43"/>
      <c r="O280" s="23"/>
      <c r="P280" s="22"/>
      <c r="Q280" s="291"/>
    </row>
    <row r="281" spans="1:17" ht="15">
      <c r="A281" s="136">
        <v>8</v>
      </c>
      <c r="B281" s="23" t="s">
        <v>128</v>
      </c>
      <c r="C281" s="23"/>
      <c r="D281" s="42"/>
      <c r="E281" s="43"/>
      <c r="F281" s="23"/>
      <c r="G281" s="22">
        <v>28875224</v>
      </c>
      <c r="H281" s="22"/>
      <c r="J281" s="110">
        <v>9</v>
      </c>
      <c r="K281" s="23" t="s">
        <v>128</v>
      </c>
      <c r="L281" s="23"/>
      <c r="M281" s="42"/>
      <c r="N281" s="43"/>
      <c r="O281" s="23"/>
      <c r="P281" s="22">
        <v>71015000</v>
      </c>
      <c r="Q281" s="22"/>
    </row>
    <row r="282" spans="1:17" ht="15">
      <c r="A282" s="199"/>
      <c r="B282" s="23" t="s">
        <v>41</v>
      </c>
      <c r="C282" s="23"/>
      <c r="D282" s="42"/>
      <c r="E282" s="43"/>
      <c r="F282" s="23"/>
      <c r="G282" s="22">
        <v>9121670</v>
      </c>
      <c r="H282" s="22"/>
      <c r="J282" s="110">
        <v>10</v>
      </c>
      <c r="K282" s="23" t="s">
        <v>41</v>
      </c>
      <c r="L282" s="23"/>
      <c r="M282" s="42"/>
      <c r="N282" s="43"/>
      <c r="O282" s="23"/>
      <c r="P282" s="22">
        <v>213884000</v>
      </c>
      <c r="Q282" s="22"/>
    </row>
    <row r="283" spans="1:17" ht="15">
      <c r="A283" s="124"/>
      <c r="B283" s="200" t="s">
        <v>129</v>
      </c>
      <c r="C283" s="200">
        <f aca="true" t="shared" si="39" ref="C283:H283">SUM(C273:C281)</f>
        <v>290</v>
      </c>
      <c r="D283" s="201">
        <f t="shared" si="39"/>
        <v>1517.9299999999998</v>
      </c>
      <c r="E283" s="202">
        <f t="shared" si="39"/>
        <v>8732861</v>
      </c>
      <c r="F283" s="200">
        <f t="shared" si="39"/>
        <v>1249637450</v>
      </c>
      <c r="G283" s="203">
        <f>SUM(G273:G282)</f>
        <v>303795103</v>
      </c>
      <c r="H283" s="203">
        <f t="shared" si="39"/>
        <v>33529</v>
      </c>
      <c r="J283" s="124"/>
      <c r="K283" s="200" t="s">
        <v>129</v>
      </c>
      <c r="L283" s="100">
        <f>SUM(L273:L281)</f>
        <v>423</v>
      </c>
      <c r="M283" s="204">
        <f>SUM(M273:M281)</f>
        <v>1677.6799999999998</v>
      </c>
      <c r="N283" s="205">
        <f>SUM(N273:N281)</f>
        <v>13125207</v>
      </c>
      <c r="O283" s="100">
        <f>SUM(O273:O281)</f>
        <v>1958882470</v>
      </c>
      <c r="P283" s="102">
        <f>SUM(P273:P282)</f>
        <v>822425000</v>
      </c>
      <c r="Q283" s="102">
        <f>SUM(Q273:Q281)</f>
        <v>33766</v>
      </c>
    </row>
    <row r="284" spans="1:17" ht="15.75">
      <c r="A284" s="152"/>
      <c r="B284" s="153"/>
      <c r="C284" s="154"/>
      <c r="D284" s="155"/>
      <c r="E284" s="155"/>
      <c r="F284" s="156"/>
      <c r="G284" s="156"/>
      <c r="H284" s="157"/>
      <c r="J284" s="152"/>
      <c r="K284" s="153"/>
      <c r="L284" s="154"/>
      <c r="M284" s="155"/>
      <c r="N284" s="155"/>
      <c r="O284" s="156"/>
      <c r="Q284" s="157"/>
    </row>
    <row r="285" spans="1:17" ht="15.75">
      <c r="A285" s="95"/>
      <c r="B285" s="39"/>
      <c r="C285" s="40"/>
      <c r="D285" s="135" t="s">
        <v>167</v>
      </c>
      <c r="E285" s="97"/>
      <c r="F285" s="41"/>
      <c r="G285" s="41"/>
      <c r="H285" s="98"/>
      <c r="J285" s="95"/>
      <c r="K285" s="39"/>
      <c r="L285" s="40"/>
      <c r="M285" s="135" t="s">
        <v>167</v>
      </c>
      <c r="N285" s="97"/>
      <c r="O285" s="41"/>
      <c r="P285" s="41"/>
      <c r="Q285" s="98"/>
    </row>
    <row r="286" spans="1:17" ht="15">
      <c r="A286" s="99" t="s">
        <v>121</v>
      </c>
      <c r="B286" s="100" t="s">
        <v>5</v>
      </c>
      <c r="C286" s="100" t="s">
        <v>6</v>
      </c>
      <c r="D286" s="101" t="s">
        <v>7</v>
      </c>
      <c r="E286" s="100" t="s">
        <v>8</v>
      </c>
      <c r="F286" s="102" t="s">
        <v>9</v>
      </c>
      <c r="G286" s="102" t="s">
        <v>10</v>
      </c>
      <c r="H286" s="99" t="s">
        <v>11</v>
      </c>
      <c r="J286" s="99" t="s">
        <v>121</v>
      </c>
      <c r="K286" s="100" t="s">
        <v>5</v>
      </c>
      <c r="L286" s="100" t="s">
        <v>6</v>
      </c>
      <c r="M286" s="101" t="s">
        <v>7</v>
      </c>
      <c r="N286" s="100" t="s">
        <v>8</v>
      </c>
      <c r="O286" s="102" t="s">
        <v>9</v>
      </c>
      <c r="P286" s="102" t="s">
        <v>10</v>
      </c>
      <c r="Q286" s="99" t="s">
        <v>11</v>
      </c>
    </row>
    <row r="287" spans="1:17" ht="15.75">
      <c r="A287" s="103"/>
      <c r="B287" s="104"/>
      <c r="C287" s="105"/>
      <c r="D287" s="106" t="s">
        <v>12</v>
      </c>
      <c r="E287" s="106" t="s">
        <v>13</v>
      </c>
      <c r="F287" s="109" t="s">
        <v>14</v>
      </c>
      <c r="G287" s="109" t="s">
        <v>14</v>
      </c>
      <c r="H287" s="108" t="s">
        <v>15</v>
      </c>
      <c r="J287" s="103"/>
      <c r="K287" s="104"/>
      <c r="L287" s="105"/>
      <c r="M287" s="106" t="s">
        <v>12</v>
      </c>
      <c r="N287" s="106" t="s">
        <v>13</v>
      </c>
      <c r="O287" s="127" t="s">
        <v>391</v>
      </c>
      <c r="P287" s="109" t="s">
        <v>391</v>
      </c>
      <c r="Q287" s="108" t="s">
        <v>15</v>
      </c>
    </row>
    <row r="288" spans="1:17" ht="15">
      <c r="A288" s="110">
        <v>1</v>
      </c>
      <c r="B288" s="23" t="s">
        <v>135</v>
      </c>
      <c r="C288" s="23"/>
      <c r="D288" s="42"/>
      <c r="E288" s="43"/>
      <c r="F288" s="23"/>
      <c r="G288" s="22">
        <v>213000</v>
      </c>
      <c r="H288" s="22">
        <v>50</v>
      </c>
      <c r="J288" s="110">
        <v>1</v>
      </c>
      <c r="K288" s="23" t="s">
        <v>140</v>
      </c>
      <c r="L288" s="23">
        <v>146</v>
      </c>
      <c r="M288" s="23">
        <v>6441.81</v>
      </c>
      <c r="N288" s="43">
        <v>845158</v>
      </c>
      <c r="O288" s="23">
        <v>321160040</v>
      </c>
      <c r="P288" s="22">
        <v>120354000</v>
      </c>
      <c r="Q288" s="22">
        <v>15400</v>
      </c>
    </row>
    <row r="289" spans="1:17" ht="15">
      <c r="A289" s="110"/>
      <c r="B289" s="23" t="s">
        <v>122</v>
      </c>
      <c r="C289" s="23">
        <v>1</v>
      </c>
      <c r="D289" s="42">
        <v>1</v>
      </c>
      <c r="E289" s="43">
        <v>129</v>
      </c>
      <c r="F289" s="23">
        <v>77400</v>
      </c>
      <c r="G289" s="22">
        <v>19000</v>
      </c>
      <c r="H289" s="22">
        <v>10</v>
      </c>
      <c r="J289" s="111">
        <v>2</v>
      </c>
      <c r="K289" s="23" t="s">
        <v>169</v>
      </c>
      <c r="L289" s="23">
        <v>4</v>
      </c>
      <c r="M289" s="23">
        <v>86.5764</v>
      </c>
      <c r="N289" s="43">
        <v>894</v>
      </c>
      <c r="O289" s="23">
        <v>339720</v>
      </c>
      <c r="P289" s="22">
        <v>103000</v>
      </c>
      <c r="Q289" s="22">
        <v>12</v>
      </c>
    </row>
    <row r="290" spans="1:17" ht="15">
      <c r="A290" s="111">
        <v>2</v>
      </c>
      <c r="B290" s="23" t="s">
        <v>123</v>
      </c>
      <c r="C290" s="23"/>
      <c r="D290" s="42"/>
      <c r="E290" s="43">
        <v>367401</v>
      </c>
      <c r="F290" s="23">
        <v>91257900</v>
      </c>
      <c r="G290" s="22">
        <v>3674000</v>
      </c>
      <c r="H290" s="22">
        <v>200</v>
      </c>
      <c r="J290" s="110">
        <v>3</v>
      </c>
      <c r="K290" s="23" t="s">
        <v>125</v>
      </c>
      <c r="L290" s="438">
        <v>101</v>
      </c>
      <c r="M290" s="23">
        <v>152.63</v>
      </c>
      <c r="N290" s="23">
        <v>1065027</v>
      </c>
      <c r="O290" s="23">
        <v>159754050</v>
      </c>
      <c r="P290" s="22">
        <v>18098000</v>
      </c>
      <c r="Q290" s="22">
        <v>700</v>
      </c>
    </row>
    <row r="291" spans="1:17" ht="15">
      <c r="A291" s="110">
        <v>3</v>
      </c>
      <c r="B291" s="23" t="s">
        <v>168</v>
      </c>
      <c r="C291" s="23">
        <v>2</v>
      </c>
      <c r="D291" s="42">
        <v>3.14</v>
      </c>
      <c r="E291" s="43">
        <v>9968</v>
      </c>
      <c r="F291" s="23">
        <v>1395520</v>
      </c>
      <c r="G291" s="22">
        <v>110000</v>
      </c>
      <c r="H291" s="22">
        <v>20</v>
      </c>
      <c r="J291" s="111">
        <v>4</v>
      </c>
      <c r="K291" s="23" t="s">
        <v>374</v>
      </c>
      <c r="L291" s="23">
        <v>2</v>
      </c>
      <c r="M291" s="23">
        <v>2.39</v>
      </c>
      <c r="N291" s="43">
        <v>19692</v>
      </c>
      <c r="O291" s="23">
        <v>3347640</v>
      </c>
      <c r="P291" s="22">
        <v>256000</v>
      </c>
      <c r="Q291" s="22">
        <v>35</v>
      </c>
    </row>
    <row r="292" spans="1:17" ht="15">
      <c r="A292" s="110"/>
      <c r="B292" s="23"/>
      <c r="C292" s="23"/>
      <c r="D292" s="42"/>
      <c r="E292" s="43"/>
      <c r="F292" s="23"/>
      <c r="G292" s="22"/>
      <c r="H292" s="22"/>
      <c r="J292" s="110">
        <v>5</v>
      </c>
      <c r="K292" s="23" t="s">
        <v>122</v>
      </c>
      <c r="L292" s="23">
        <v>1</v>
      </c>
      <c r="M292" s="23">
        <v>1</v>
      </c>
      <c r="N292" s="43"/>
      <c r="O292" s="23"/>
      <c r="P292" s="22">
        <v>29000</v>
      </c>
      <c r="Q292" s="22"/>
    </row>
    <row r="293" spans="1:17" ht="15">
      <c r="A293" s="111">
        <v>4</v>
      </c>
      <c r="B293" s="23" t="s">
        <v>125</v>
      </c>
      <c r="C293" s="23">
        <v>103</v>
      </c>
      <c r="D293" s="42">
        <v>202.192</v>
      </c>
      <c r="E293" s="43">
        <v>559137</v>
      </c>
      <c r="F293" s="23">
        <v>43311780</v>
      </c>
      <c r="G293" s="22">
        <v>5609000</v>
      </c>
      <c r="H293" s="22">
        <v>650</v>
      </c>
      <c r="J293" s="110">
        <v>6</v>
      </c>
      <c r="K293" s="23" t="s">
        <v>123</v>
      </c>
      <c r="L293" s="23"/>
      <c r="M293" s="23"/>
      <c r="N293" s="43">
        <v>2657150</v>
      </c>
      <c r="O293" s="23">
        <v>398572500</v>
      </c>
      <c r="P293" s="22">
        <v>64883000</v>
      </c>
      <c r="Q293" s="22">
        <v>160</v>
      </c>
    </row>
    <row r="294" spans="1:17" ht="15">
      <c r="A294" s="110">
        <v>5</v>
      </c>
      <c r="B294" s="23" t="s">
        <v>169</v>
      </c>
      <c r="C294" s="23">
        <v>5</v>
      </c>
      <c r="D294" s="42">
        <v>106</v>
      </c>
      <c r="E294" s="43">
        <v>1348</v>
      </c>
      <c r="F294" s="23">
        <v>404400</v>
      </c>
      <c r="G294" s="22">
        <v>67000</v>
      </c>
      <c r="H294" s="22">
        <v>12</v>
      </c>
      <c r="J294" s="111">
        <v>7</v>
      </c>
      <c r="K294" s="23" t="s">
        <v>148</v>
      </c>
      <c r="L294" s="23"/>
      <c r="M294" s="23"/>
      <c r="N294" s="43">
        <v>127012</v>
      </c>
      <c r="O294" s="23">
        <v>19051800</v>
      </c>
      <c r="P294" s="22">
        <v>2442000</v>
      </c>
      <c r="Q294" s="22">
        <v>250</v>
      </c>
    </row>
    <row r="295" spans="1:17" ht="15">
      <c r="A295" s="111">
        <v>6</v>
      </c>
      <c r="B295" s="23" t="s">
        <v>148</v>
      </c>
      <c r="C295" s="23"/>
      <c r="D295" s="42"/>
      <c r="E295" s="43">
        <f>292100+320000</f>
        <v>612100</v>
      </c>
      <c r="F295" s="23">
        <f>7215030+6400000</f>
        <v>13615030</v>
      </c>
      <c r="G295" s="22">
        <f>2921000+640000</f>
        <v>3561000</v>
      </c>
      <c r="H295" s="22">
        <f>200+200</f>
        <v>400</v>
      </c>
      <c r="J295" s="110">
        <v>8</v>
      </c>
      <c r="K295" s="23" t="s">
        <v>145</v>
      </c>
      <c r="L295" s="23"/>
      <c r="M295" s="23"/>
      <c r="N295" s="43">
        <v>347000</v>
      </c>
      <c r="O295" s="23">
        <v>52050000</v>
      </c>
      <c r="P295" s="22">
        <v>867000</v>
      </c>
      <c r="Q295" s="22">
        <v>170</v>
      </c>
    </row>
    <row r="296" spans="1:17" ht="15">
      <c r="A296" s="110"/>
      <c r="B296" s="23"/>
      <c r="C296" s="23"/>
      <c r="D296" s="42"/>
      <c r="E296" s="43"/>
      <c r="F296" s="23"/>
      <c r="G296" s="22"/>
      <c r="H296" s="22"/>
      <c r="J296" s="111">
        <v>9</v>
      </c>
      <c r="K296" s="23" t="s">
        <v>135</v>
      </c>
      <c r="L296" s="23"/>
      <c r="M296" s="23"/>
      <c r="N296" s="43"/>
      <c r="O296" s="23"/>
      <c r="P296" s="22">
        <v>161000</v>
      </c>
      <c r="Q296" s="22"/>
    </row>
    <row r="297" spans="1:17" ht="15">
      <c r="A297" s="110"/>
      <c r="B297" s="23"/>
      <c r="C297" s="23"/>
      <c r="D297" s="42"/>
      <c r="E297" s="43"/>
      <c r="F297" s="23"/>
      <c r="G297" s="22"/>
      <c r="H297" s="22"/>
      <c r="J297" s="110">
        <v>10</v>
      </c>
      <c r="K297" s="23" t="s">
        <v>128</v>
      </c>
      <c r="L297" s="23"/>
      <c r="M297" s="23"/>
      <c r="N297" s="43"/>
      <c r="O297" s="23"/>
      <c r="P297" s="22">
        <v>10812000</v>
      </c>
      <c r="Q297" s="22"/>
    </row>
    <row r="298" spans="1:17" ht="15">
      <c r="A298" s="111">
        <v>8</v>
      </c>
      <c r="B298" s="23" t="s">
        <v>41</v>
      </c>
      <c r="C298" s="23"/>
      <c r="D298" s="42"/>
      <c r="E298" s="43"/>
      <c r="F298" s="23"/>
      <c r="G298" s="22">
        <f>628000+117000</f>
        <v>745000</v>
      </c>
      <c r="H298" s="22"/>
      <c r="J298" s="110">
        <v>11</v>
      </c>
      <c r="K298" s="23" t="s">
        <v>41</v>
      </c>
      <c r="L298" s="23"/>
      <c r="M298" s="42"/>
      <c r="N298" s="43"/>
      <c r="O298" s="23"/>
      <c r="P298" s="22"/>
      <c r="Q298" s="22"/>
    </row>
    <row r="299" spans="1:17" ht="15.75">
      <c r="A299" s="124"/>
      <c r="B299" s="158" t="s">
        <v>129</v>
      </c>
      <c r="C299" s="159">
        <f aca="true" t="shared" si="40" ref="C299:H299">SUM(C288:C298)</f>
        <v>111</v>
      </c>
      <c r="D299" s="160">
        <f t="shared" si="40"/>
        <v>312.332</v>
      </c>
      <c r="E299" s="159">
        <f t="shared" si="40"/>
        <v>1550083</v>
      </c>
      <c r="F299" s="161">
        <f t="shared" si="40"/>
        <v>150062030</v>
      </c>
      <c r="G299" s="161">
        <f t="shared" si="40"/>
        <v>13998000</v>
      </c>
      <c r="H299" s="128">
        <f t="shared" si="40"/>
        <v>1342</v>
      </c>
      <c r="J299" s="124"/>
      <c r="K299" s="158" t="s">
        <v>129</v>
      </c>
      <c r="L299" s="159">
        <f aca="true" t="shared" si="41" ref="L299:Q299">SUM(L288:L298)</f>
        <v>254</v>
      </c>
      <c r="M299" s="160">
        <f t="shared" si="41"/>
        <v>6684.406400000001</v>
      </c>
      <c r="N299" s="159">
        <f t="shared" si="41"/>
        <v>5061933</v>
      </c>
      <c r="O299" s="161">
        <f t="shared" si="41"/>
        <v>954275750</v>
      </c>
      <c r="P299" s="161">
        <f t="shared" si="41"/>
        <v>218005000</v>
      </c>
      <c r="Q299" s="161">
        <f t="shared" si="41"/>
        <v>16727</v>
      </c>
    </row>
    <row r="300" spans="1:17" ht="16.5" customHeight="1">
      <c r="A300" s="152"/>
      <c r="B300" s="153"/>
      <c r="C300" s="154"/>
      <c r="D300" s="155"/>
      <c r="E300" s="155"/>
      <c r="F300" s="156"/>
      <c r="G300" s="156"/>
      <c r="H300" s="157"/>
      <c r="J300" s="152"/>
      <c r="K300" s="153"/>
      <c r="L300" s="154"/>
      <c r="M300" s="155"/>
      <c r="N300" s="155"/>
      <c r="O300" s="156"/>
      <c r="P300" s="156"/>
      <c r="Q300" s="157"/>
    </row>
    <row r="301" spans="1:17" ht="15.75">
      <c r="A301" s="95"/>
      <c r="B301" s="39"/>
      <c r="C301" s="40"/>
      <c r="D301" s="135" t="s">
        <v>83</v>
      </c>
      <c r="E301" s="97"/>
      <c r="F301" s="41"/>
      <c r="G301" s="41"/>
      <c r="H301" s="98"/>
      <c r="J301" s="95"/>
      <c r="K301" s="39"/>
      <c r="L301" s="40"/>
      <c r="M301" s="135" t="s">
        <v>83</v>
      </c>
      <c r="N301" s="97"/>
      <c r="O301" s="41"/>
      <c r="P301" s="41"/>
      <c r="Q301" s="98"/>
    </row>
    <row r="302" spans="1:17" ht="15">
      <c r="A302" s="99" t="s">
        <v>121</v>
      </c>
      <c r="B302" s="100" t="s">
        <v>5</v>
      </c>
      <c r="C302" s="100" t="s">
        <v>6</v>
      </c>
      <c r="D302" s="101" t="s">
        <v>7</v>
      </c>
      <c r="E302" s="100" t="s">
        <v>8</v>
      </c>
      <c r="F302" s="102" t="s">
        <v>9</v>
      </c>
      <c r="G302" s="102" t="s">
        <v>10</v>
      </c>
      <c r="H302" s="99" t="s">
        <v>11</v>
      </c>
      <c r="J302" s="99" t="s">
        <v>121</v>
      </c>
      <c r="K302" s="100" t="s">
        <v>5</v>
      </c>
      <c r="L302" s="100" t="s">
        <v>6</v>
      </c>
      <c r="M302" s="101" t="s">
        <v>7</v>
      </c>
      <c r="N302" s="100" t="s">
        <v>8</v>
      </c>
      <c r="O302" s="102" t="s">
        <v>9</v>
      </c>
      <c r="P302" s="102" t="s">
        <v>10</v>
      </c>
      <c r="Q302" s="99" t="s">
        <v>11</v>
      </c>
    </row>
    <row r="303" spans="1:17" ht="15.75">
      <c r="A303" s="103"/>
      <c r="B303" s="104"/>
      <c r="C303" s="105"/>
      <c r="D303" s="106" t="s">
        <v>12</v>
      </c>
      <c r="E303" s="106" t="s">
        <v>13</v>
      </c>
      <c r="F303" s="109" t="s">
        <v>14</v>
      </c>
      <c r="G303" s="109" t="s">
        <v>14</v>
      </c>
      <c r="H303" s="108" t="s">
        <v>15</v>
      </c>
      <c r="J303" s="103"/>
      <c r="K303" s="104"/>
      <c r="L303" s="105"/>
      <c r="M303" s="106" t="s">
        <v>12</v>
      </c>
      <c r="N303" s="106" t="s">
        <v>13</v>
      </c>
      <c r="O303" s="127" t="s">
        <v>391</v>
      </c>
      <c r="P303" s="109" t="s">
        <v>391</v>
      </c>
      <c r="Q303" s="108" t="s">
        <v>15</v>
      </c>
    </row>
    <row r="304" spans="1:17" ht="15">
      <c r="A304" s="110">
        <v>1</v>
      </c>
      <c r="B304" s="23" t="s">
        <v>123</v>
      </c>
      <c r="C304" s="23"/>
      <c r="D304" s="42"/>
      <c r="E304" s="43">
        <v>1756175</v>
      </c>
      <c r="F304" s="22">
        <v>122932231.33333333</v>
      </c>
      <c r="G304" s="22">
        <v>4595636</v>
      </c>
      <c r="H304" s="22" t="s">
        <v>53</v>
      </c>
      <c r="J304" s="110">
        <v>1</v>
      </c>
      <c r="K304" s="23" t="s">
        <v>140</v>
      </c>
      <c r="L304" s="23">
        <v>7</v>
      </c>
      <c r="M304" s="42">
        <v>9.23</v>
      </c>
      <c r="N304" s="23">
        <v>26510</v>
      </c>
      <c r="O304" s="22">
        <v>26510003</v>
      </c>
      <c r="P304" s="22">
        <v>374807</v>
      </c>
      <c r="Q304" s="22">
        <v>30</v>
      </c>
    </row>
    <row r="305" spans="1:17" ht="15">
      <c r="A305" s="111">
        <v>2</v>
      </c>
      <c r="B305" s="23" t="s">
        <v>137</v>
      </c>
      <c r="C305" s="23">
        <v>7</v>
      </c>
      <c r="D305" s="42">
        <v>11.829</v>
      </c>
      <c r="E305" s="43">
        <v>35740</v>
      </c>
      <c r="F305" s="22">
        <v>3574000</v>
      </c>
      <c r="G305" s="22">
        <v>1643269</v>
      </c>
      <c r="H305" s="22">
        <v>48</v>
      </c>
      <c r="J305" s="111">
        <v>2</v>
      </c>
      <c r="K305" s="23" t="s">
        <v>125</v>
      </c>
      <c r="L305" s="23">
        <v>88</v>
      </c>
      <c r="M305" s="42">
        <v>88.68</v>
      </c>
      <c r="N305" s="43">
        <v>8574517</v>
      </c>
      <c r="O305" s="22">
        <v>1071814625</v>
      </c>
      <c r="P305" s="22">
        <v>55734361</v>
      </c>
      <c r="Q305" s="22">
        <v>260</v>
      </c>
    </row>
    <row r="306" spans="1:18" ht="15">
      <c r="A306" s="110">
        <v>3</v>
      </c>
      <c r="B306" s="23" t="s">
        <v>165</v>
      </c>
      <c r="C306" s="23">
        <v>2</v>
      </c>
      <c r="D306" s="42">
        <v>1.72</v>
      </c>
      <c r="E306" s="43">
        <v>500</v>
      </c>
      <c r="F306" s="22">
        <v>585000</v>
      </c>
      <c r="G306" s="22">
        <v>48004</v>
      </c>
      <c r="H306" s="22">
        <v>8</v>
      </c>
      <c r="J306" s="110">
        <v>3</v>
      </c>
      <c r="K306" s="23" t="s">
        <v>137</v>
      </c>
      <c r="L306" s="23">
        <v>6</v>
      </c>
      <c r="M306" s="23">
        <v>9.0332</v>
      </c>
      <c r="N306" s="43">
        <v>62227</v>
      </c>
      <c r="O306" s="22">
        <v>9956320</v>
      </c>
      <c r="P306" s="22">
        <v>4047934</v>
      </c>
      <c r="Q306" s="22">
        <v>21</v>
      </c>
      <c r="R306" s="206"/>
    </row>
    <row r="307" spans="1:18" ht="15">
      <c r="A307" s="111">
        <v>4</v>
      </c>
      <c r="B307" s="23" t="s">
        <v>125</v>
      </c>
      <c r="C307" s="23">
        <v>61</v>
      </c>
      <c r="D307" s="42">
        <v>64</v>
      </c>
      <c r="E307" s="43">
        <v>4752756</v>
      </c>
      <c r="F307" s="22">
        <v>380220456</v>
      </c>
      <c r="G307" s="22">
        <v>18563222</v>
      </c>
      <c r="H307" s="22">
        <v>185</v>
      </c>
      <c r="J307" s="111">
        <v>4</v>
      </c>
      <c r="K307" s="23" t="s">
        <v>165</v>
      </c>
      <c r="L307" s="23">
        <v>6</v>
      </c>
      <c r="M307" s="23">
        <v>5.72</v>
      </c>
      <c r="N307" s="43">
        <v>800</v>
      </c>
      <c r="O307" s="22">
        <v>560000</v>
      </c>
      <c r="P307" s="22">
        <v>175750</v>
      </c>
      <c r="Q307" s="22">
        <v>5</v>
      </c>
      <c r="R307" s="206"/>
    </row>
    <row r="308" spans="1:18" ht="15">
      <c r="A308" s="110">
        <v>5</v>
      </c>
      <c r="B308" s="23" t="s">
        <v>124</v>
      </c>
      <c r="C308" s="23">
        <v>1</v>
      </c>
      <c r="D308" s="42">
        <v>2.25</v>
      </c>
      <c r="E308" s="43">
        <v>560</v>
      </c>
      <c r="F308" s="22">
        <v>1960000</v>
      </c>
      <c r="G308" s="22">
        <v>92055</v>
      </c>
      <c r="H308" s="22">
        <v>5</v>
      </c>
      <c r="J308" s="110">
        <v>5</v>
      </c>
      <c r="K308" s="23" t="s">
        <v>123</v>
      </c>
      <c r="L308" s="23"/>
      <c r="M308" s="23"/>
      <c r="N308" s="43">
        <v>680064</v>
      </c>
      <c r="O308" s="22">
        <v>68006400</v>
      </c>
      <c r="P308" s="22">
        <v>12015743</v>
      </c>
      <c r="Q308" s="22"/>
      <c r="R308" s="206"/>
    </row>
    <row r="309" spans="1:18" ht="15">
      <c r="A309" s="111">
        <v>6</v>
      </c>
      <c r="B309" s="23" t="s">
        <v>148</v>
      </c>
      <c r="C309" s="23"/>
      <c r="D309" s="42"/>
      <c r="E309" s="43">
        <v>7106445</v>
      </c>
      <c r="F309" s="22">
        <v>334233844</v>
      </c>
      <c r="G309" s="22"/>
      <c r="H309" s="22"/>
      <c r="J309" s="111">
        <v>6</v>
      </c>
      <c r="K309" s="23" t="s">
        <v>145</v>
      </c>
      <c r="L309" s="23"/>
      <c r="M309" s="42"/>
      <c r="N309" s="43">
        <v>1984035</v>
      </c>
      <c r="O309" s="22">
        <v>59521050</v>
      </c>
      <c r="P309" s="22">
        <v>3354241</v>
      </c>
      <c r="Q309" s="22"/>
      <c r="R309" s="206"/>
    </row>
    <row r="310" spans="1:17" ht="15">
      <c r="A310" s="110">
        <v>7</v>
      </c>
      <c r="B310" s="23" t="s">
        <v>140</v>
      </c>
      <c r="C310" s="23">
        <v>10</v>
      </c>
      <c r="D310" s="42">
        <v>7.603999999999998</v>
      </c>
      <c r="E310" s="43">
        <v>22464</v>
      </c>
      <c r="F310" s="22">
        <v>19094400</v>
      </c>
      <c r="G310" s="22">
        <v>1336033</v>
      </c>
      <c r="H310" s="22">
        <v>46</v>
      </c>
      <c r="J310" s="110">
        <v>7</v>
      </c>
      <c r="K310" s="23" t="s">
        <v>148</v>
      </c>
      <c r="L310" s="23"/>
      <c r="M310" s="42"/>
      <c r="N310" s="43"/>
      <c r="O310" s="22"/>
      <c r="P310" s="22">
        <v>89680</v>
      </c>
      <c r="Q310" s="22"/>
    </row>
    <row r="311" spans="1:17" ht="15">
      <c r="A311" s="136">
        <v>8</v>
      </c>
      <c r="B311" s="23" t="s">
        <v>128</v>
      </c>
      <c r="C311" s="23"/>
      <c r="D311" s="42"/>
      <c r="E311" s="74"/>
      <c r="F311" s="23"/>
      <c r="G311" s="22">
        <v>72527414</v>
      </c>
      <c r="H311" s="22"/>
      <c r="J311" s="136">
        <v>8</v>
      </c>
      <c r="K311" s="23" t="s">
        <v>128</v>
      </c>
      <c r="L311" s="23"/>
      <c r="M311" s="42"/>
      <c r="N311" s="74"/>
      <c r="O311" s="23"/>
      <c r="P311" s="22">
        <v>22711258</v>
      </c>
      <c r="Q311" s="22"/>
    </row>
    <row r="312" spans="1:17" ht="15">
      <c r="A312" s="136">
        <v>9</v>
      </c>
      <c r="B312" s="23" t="s">
        <v>41</v>
      </c>
      <c r="C312" s="23"/>
      <c r="D312" s="42"/>
      <c r="E312" s="43"/>
      <c r="F312" s="23"/>
      <c r="G312" s="22">
        <v>6250976</v>
      </c>
      <c r="H312" s="22"/>
      <c r="J312" s="136">
        <v>9</v>
      </c>
      <c r="K312" s="23" t="s">
        <v>41</v>
      </c>
      <c r="L312" s="23"/>
      <c r="M312" s="42"/>
      <c r="N312" s="43"/>
      <c r="O312" s="23"/>
      <c r="P312" s="22">
        <v>8916615</v>
      </c>
      <c r="Q312" s="22"/>
    </row>
    <row r="313" spans="1:17" ht="15.75">
      <c r="A313" s="112"/>
      <c r="B313" s="113" t="s">
        <v>129</v>
      </c>
      <c r="C313" s="114">
        <f aca="true" t="shared" si="42" ref="C313:H313">SUM(C304:C311)</f>
        <v>81</v>
      </c>
      <c r="D313" s="115">
        <f t="shared" si="42"/>
        <v>87.403</v>
      </c>
      <c r="E313" s="114">
        <f t="shared" si="42"/>
        <v>13674640</v>
      </c>
      <c r="F313" s="116">
        <f t="shared" si="42"/>
        <v>862599931.3333333</v>
      </c>
      <c r="G313" s="116">
        <f>SUM(G304:G312)</f>
        <v>105056609</v>
      </c>
      <c r="H313" s="117">
        <f t="shared" si="42"/>
        <v>292</v>
      </c>
      <c r="J313" s="112"/>
      <c r="K313" s="113" t="s">
        <v>129</v>
      </c>
      <c r="L313" s="100">
        <f>SUM(L304:L311)</f>
        <v>107</v>
      </c>
      <c r="M313" s="101">
        <f>SUM(M304:M311)</f>
        <v>112.66320000000002</v>
      </c>
      <c r="N313" s="102">
        <f>SUM(N304:N311)</f>
        <v>11328153</v>
      </c>
      <c r="O313" s="100">
        <f>SUM(O304:O311)</f>
        <v>1236368398</v>
      </c>
      <c r="P313" s="100">
        <f>SUM(P304:P312)</f>
        <v>107420389</v>
      </c>
      <c r="Q313" s="100">
        <f>SUM(Q304:Q312)</f>
        <v>316</v>
      </c>
    </row>
    <row r="314" spans="1:17" ht="16.5" customHeight="1">
      <c r="A314" s="118"/>
      <c r="B314" s="119"/>
      <c r="C314" s="49"/>
      <c r="D314" s="68"/>
      <c r="E314" s="68"/>
      <c r="F314" s="50"/>
      <c r="G314" s="50"/>
      <c r="H314" s="120"/>
      <c r="J314" s="118"/>
      <c r="K314" s="119"/>
      <c r="L314" s="49"/>
      <c r="M314" s="68"/>
      <c r="N314" s="68"/>
      <c r="O314" s="50"/>
      <c r="P314" s="50"/>
      <c r="Q314" s="120"/>
    </row>
    <row r="315" spans="1:17" ht="15.75">
      <c r="A315" s="95"/>
      <c r="B315" s="39"/>
      <c r="C315" s="40"/>
      <c r="D315" s="135" t="s">
        <v>84</v>
      </c>
      <c r="E315" s="97"/>
      <c r="F315" s="41"/>
      <c r="G315" s="41"/>
      <c r="H315" s="98"/>
      <c r="J315" s="95"/>
      <c r="K315" s="39"/>
      <c r="L315" s="40"/>
      <c r="M315" s="135" t="s">
        <v>84</v>
      </c>
      <c r="N315" s="97"/>
      <c r="O315" s="41"/>
      <c r="P315" s="41"/>
      <c r="Q315" s="98"/>
    </row>
    <row r="316" spans="1:17" ht="15">
      <c r="A316" s="99" t="s">
        <v>121</v>
      </c>
      <c r="B316" s="100" t="s">
        <v>5</v>
      </c>
      <c r="C316" s="100" t="s">
        <v>6</v>
      </c>
      <c r="D316" s="101" t="s">
        <v>7</v>
      </c>
      <c r="E316" s="100" t="s">
        <v>8</v>
      </c>
      <c r="F316" s="102" t="s">
        <v>9</v>
      </c>
      <c r="G316" s="102" t="s">
        <v>10</v>
      </c>
      <c r="H316" s="99" t="s">
        <v>11</v>
      </c>
      <c r="J316" s="99" t="s">
        <v>121</v>
      </c>
      <c r="K316" s="100" t="s">
        <v>5</v>
      </c>
      <c r="L316" s="100" t="s">
        <v>6</v>
      </c>
      <c r="M316" s="101" t="s">
        <v>7</v>
      </c>
      <c r="N316" s="100" t="s">
        <v>8</v>
      </c>
      <c r="O316" s="102" t="s">
        <v>9</v>
      </c>
      <c r="P316" s="102" t="s">
        <v>10</v>
      </c>
      <c r="Q316" s="99" t="s">
        <v>11</v>
      </c>
    </row>
    <row r="317" spans="1:17" ht="15.75">
      <c r="A317" s="103"/>
      <c r="B317" s="104"/>
      <c r="C317" s="105"/>
      <c r="D317" s="106" t="s">
        <v>12</v>
      </c>
      <c r="E317" s="106" t="s">
        <v>13</v>
      </c>
      <c r="F317" s="109" t="s">
        <v>14</v>
      </c>
      <c r="G317" s="109" t="s">
        <v>14</v>
      </c>
      <c r="H317" s="108" t="s">
        <v>15</v>
      </c>
      <c r="J317" s="103"/>
      <c r="K317" s="104"/>
      <c r="L317" s="105"/>
      <c r="M317" s="106" t="s">
        <v>12</v>
      </c>
      <c r="N317" s="106" t="s">
        <v>13</v>
      </c>
      <c r="O317" s="127" t="s">
        <v>391</v>
      </c>
      <c r="P317" s="109" t="s">
        <v>391</v>
      </c>
      <c r="Q317" s="108" t="s">
        <v>15</v>
      </c>
    </row>
    <row r="318" spans="1:17" ht="15">
      <c r="A318" s="110">
        <v>1</v>
      </c>
      <c r="B318" s="23" t="s">
        <v>135</v>
      </c>
      <c r="C318" s="23"/>
      <c r="D318" s="42"/>
      <c r="E318" s="43">
        <f>G318/10</f>
        <v>946000</v>
      </c>
      <c r="F318" s="22">
        <f>E318*500</f>
        <v>473000000</v>
      </c>
      <c r="G318" s="22">
        <v>9460000</v>
      </c>
      <c r="H318" s="22"/>
      <c r="J318" s="110">
        <v>1</v>
      </c>
      <c r="K318" s="23" t="s">
        <v>125</v>
      </c>
      <c r="L318" s="23">
        <v>237</v>
      </c>
      <c r="M318" s="23">
        <v>237.82</v>
      </c>
      <c r="N318" s="293">
        <v>3319908</v>
      </c>
      <c r="O318" s="291">
        <v>398389036</v>
      </c>
      <c r="P318" s="22">
        <v>73038000</v>
      </c>
      <c r="Q318" s="22">
        <v>2200</v>
      </c>
    </row>
    <row r="319" spans="1:17" ht="15">
      <c r="A319" s="111">
        <v>2</v>
      </c>
      <c r="B319" s="23" t="s">
        <v>123</v>
      </c>
      <c r="C319" s="23"/>
      <c r="D319" s="42"/>
      <c r="E319" s="43">
        <v>3607700</v>
      </c>
      <c r="F319" s="22">
        <v>180385000</v>
      </c>
      <c r="G319" s="22">
        <v>36077000</v>
      </c>
      <c r="H319" s="22"/>
      <c r="J319" s="111">
        <v>2</v>
      </c>
      <c r="K319" s="23" t="s">
        <v>137</v>
      </c>
      <c r="L319" s="23">
        <v>6</v>
      </c>
      <c r="M319" s="23">
        <v>387.38</v>
      </c>
      <c r="N319" s="293">
        <v>57538.46</v>
      </c>
      <c r="O319" s="291">
        <v>8629569</v>
      </c>
      <c r="P319" s="22">
        <v>3740000</v>
      </c>
      <c r="Q319" s="22">
        <v>190</v>
      </c>
    </row>
    <row r="320" spans="1:17" ht="15">
      <c r="A320" s="111">
        <f>+A319+1</f>
        <v>3</v>
      </c>
      <c r="B320" s="23" t="s">
        <v>137</v>
      </c>
      <c r="C320" s="23">
        <v>6</v>
      </c>
      <c r="D320" s="42">
        <v>417.387</v>
      </c>
      <c r="E320" s="43">
        <v>67638.57</v>
      </c>
      <c r="F320" s="23">
        <v>8116628</v>
      </c>
      <c r="G320" s="22">
        <v>4852000</v>
      </c>
      <c r="H320" s="22">
        <v>60</v>
      </c>
      <c r="J320" s="110">
        <v>3</v>
      </c>
      <c r="K320" s="23" t="s">
        <v>124</v>
      </c>
      <c r="L320" s="23">
        <v>11</v>
      </c>
      <c r="M320" s="23">
        <v>8.37</v>
      </c>
      <c r="N320" s="341">
        <v>7721</v>
      </c>
      <c r="O320" s="319">
        <v>6948900</v>
      </c>
      <c r="P320" s="22">
        <v>1467000</v>
      </c>
      <c r="Q320" s="22">
        <v>180</v>
      </c>
    </row>
    <row r="321" spans="1:17" ht="15">
      <c r="A321" s="111">
        <f>+A320+1</f>
        <v>4</v>
      </c>
      <c r="B321" s="23" t="s">
        <v>124</v>
      </c>
      <c r="C321" s="23">
        <v>11</v>
      </c>
      <c r="D321" s="42">
        <v>10.457</v>
      </c>
      <c r="E321" s="43">
        <v>5677</v>
      </c>
      <c r="F321" s="23">
        <v>3974180</v>
      </c>
      <c r="G321" s="22">
        <v>1002000</v>
      </c>
      <c r="H321" s="22">
        <v>121</v>
      </c>
      <c r="J321" s="111">
        <v>4</v>
      </c>
      <c r="K321" s="23" t="s">
        <v>127</v>
      </c>
      <c r="L321" s="23">
        <v>13</v>
      </c>
      <c r="M321" s="23">
        <v>32.09</v>
      </c>
      <c r="N321" s="43">
        <v>18670</v>
      </c>
      <c r="O321" s="22">
        <v>3734000</v>
      </c>
      <c r="P321" s="22">
        <v>1587000</v>
      </c>
      <c r="Q321" s="22">
        <v>100</v>
      </c>
    </row>
    <row r="322" spans="1:17" ht="15">
      <c r="A322" s="111">
        <f>+A321+1</f>
        <v>5</v>
      </c>
      <c r="B322" s="23" t="s">
        <v>125</v>
      </c>
      <c r="C322" s="23">
        <v>185</v>
      </c>
      <c r="D322" s="42">
        <v>185.07</v>
      </c>
      <c r="E322" s="43">
        <v>806331.8</v>
      </c>
      <c r="F322" s="23">
        <v>64506544</v>
      </c>
      <c r="G322" s="22">
        <v>22757000</v>
      </c>
      <c r="H322" s="22">
        <v>1175</v>
      </c>
      <c r="J322" s="110">
        <v>5</v>
      </c>
      <c r="K322" s="23" t="s">
        <v>135</v>
      </c>
      <c r="L322" s="23"/>
      <c r="M322" s="23"/>
      <c r="N322" s="43">
        <v>1668500</v>
      </c>
      <c r="O322" s="22">
        <v>834250000</v>
      </c>
      <c r="P322" s="22">
        <v>12370000</v>
      </c>
      <c r="Q322" s="22">
        <v>0</v>
      </c>
    </row>
    <row r="323" spans="1:17" ht="15">
      <c r="A323" s="111">
        <f>+A322+1</f>
        <v>6</v>
      </c>
      <c r="B323" s="23" t="s">
        <v>127</v>
      </c>
      <c r="C323" s="23">
        <v>24</v>
      </c>
      <c r="D323" s="42">
        <v>41.75</v>
      </c>
      <c r="E323" s="43">
        <v>974</v>
      </c>
      <c r="F323" s="23">
        <f>E323*160</f>
        <v>155840</v>
      </c>
      <c r="G323" s="22">
        <v>303000</v>
      </c>
      <c r="H323" s="22">
        <v>72</v>
      </c>
      <c r="J323" s="111">
        <v>6</v>
      </c>
      <c r="K323" s="23" t="s">
        <v>123</v>
      </c>
      <c r="L323" s="23"/>
      <c r="M323" s="23"/>
      <c r="N323" s="375">
        <v>16138600</v>
      </c>
      <c r="O323" s="375">
        <v>1613860000</v>
      </c>
      <c r="P323" s="22">
        <v>161386000</v>
      </c>
      <c r="Q323" s="22"/>
    </row>
    <row r="324" spans="1:17" ht="15">
      <c r="A324" s="111"/>
      <c r="B324" s="23"/>
      <c r="C324" s="23"/>
      <c r="D324" s="42"/>
      <c r="E324" s="43"/>
      <c r="F324" s="23"/>
      <c r="G324" s="22"/>
      <c r="H324" s="22"/>
      <c r="J324" s="110">
        <v>7</v>
      </c>
      <c r="K324" s="23" t="s">
        <v>128</v>
      </c>
      <c r="L324" s="23"/>
      <c r="M324" s="23"/>
      <c r="N324" s="43"/>
      <c r="O324" s="22"/>
      <c r="P324" s="22">
        <v>2134000</v>
      </c>
      <c r="Q324" s="22"/>
    </row>
    <row r="325" spans="1:17" ht="15">
      <c r="A325" s="111">
        <v>7</v>
      </c>
      <c r="B325" s="23" t="s">
        <v>41</v>
      </c>
      <c r="C325" s="23"/>
      <c r="D325" s="42"/>
      <c r="E325" s="43"/>
      <c r="F325" s="23"/>
      <c r="G325" s="22">
        <v>4786000</v>
      </c>
      <c r="H325" s="22"/>
      <c r="J325" s="111">
        <v>8</v>
      </c>
      <c r="K325" s="23" t="s">
        <v>41</v>
      </c>
      <c r="L325" s="23"/>
      <c r="M325" s="23"/>
      <c r="N325" s="43"/>
      <c r="O325" s="23"/>
      <c r="P325" s="319">
        <v>20009000</v>
      </c>
      <c r="Q325" s="22"/>
    </row>
    <row r="326" spans="1:17" ht="15.75">
      <c r="A326" s="112"/>
      <c r="B326" s="113" t="s">
        <v>129</v>
      </c>
      <c r="C326" s="114">
        <f aca="true" t="shared" si="43" ref="C326:H326">SUM(C318:C325)</f>
        <v>226</v>
      </c>
      <c r="D326" s="115">
        <f t="shared" si="43"/>
        <v>654.664</v>
      </c>
      <c r="E326" s="116">
        <f>SUM(E318:E325)</f>
        <v>5434321.37</v>
      </c>
      <c r="F326" s="116">
        <f>SUM(F318:F325)</f>
        <v>730138192</v>
      </c>
      <c r="G326" s="116">
        <f t="shared" si="43"/>
        <v>79237000</v>
      </c>
      <c r="H326" s="117">
        <f t="shared" si="43"/>
        <v>1428</v>
      </c>
      <c r="J326" s="112"/>
      <c r="K326" s="113" t="s">
        <v>129</v>
      </c>
      <c r="L326" s="100">
        <f aca="true" t="shared" si="44" ref="L326:Q326">SUM(L318:L325)</f>
        <v>267</v>
      </c>
      <c r="M326" s="101">
        <f t="shared" si="44"/>
        <v>665.6600000000001</v>
      </c>
      <c r="N326" s="102">
        <f t="shared" si="44"/>
        <v>21210937.46</v>
      </c>
      <c r="O326" s="100">
        <f t="shared" si="44"/>
        <v>2865811505</v>
      </c>
      <c r="P326" s="100">
        <f t="shared" si="44"/>
        <v>275731000</v>
      </c>
      <c r="Q326" s="100">
        <f t="shared" si="44"/>
        <v>2670</v>
      </c>
    </row>
    <row r="327" spans="1:17" ht="13.5" customHeight="1">
      <c r="A327" s="118"/>
      <c r="B327" s="121"/>
      <c r="C327" s="12"/>
      <c r="D327" s="123"/>
      <c r="E327" s="123"/>
      <c r="F327" s="14"/>
      <c r="G327" s="14"/>
      <c r="H327" s="120"/>
      <c r="J327" s="118"/>
      <c r="K327" s="121"/>
      <c r="L327" s="12"/>
      <c r="M327" s="123"/>
      <c r="N327" s="123"/>
      <c r="O327" s="14"/>
      <c r="P327" s="14"/>
      <c r="Q327" s="120"/>
    </row>
    <row r="328" spans="1:17" ht="15.75">
      <c r="A328" s="95"/>
      <c r="B328" s="39"/>
      <c r="C328" s="40"/>
      <c r="D328" s="135" t="s">
        <v>85</v>
      </c>
      <c r="E328" s="97"/>
      <c r="F328" s="41"/>
      <c r="G328" s="41"/>
      <c r="H328" s="98"/>
      <c r="J328" s="95"/>
      <c r="K328" s="39"/>
      <c r="L328" s="40"/>
      <c r="M328" s="135" t="s">
        <v>85</v>
      </c>
      <c r="N328" s="97"/>
      <c r="O328" s="41"/>
      <c r="P328" s="41"/>
      <c r="Q328" s="98"/>
    </row>
    <row r="329" spans="1:17" ht="15">
      <c r="A329" s="99" t="s">
        <v>121</v>
      </c>
      <c r="B329" s="100" t="s">
        <v>5</v>
      </c>
      <c r="C329" s="100" t="s">
        <v>6</v>
      </c>
      <c r="D329" s="101" t="s">
        <v>7</v>
      </c>
      <c r="E329" s="100" t="s">
        <v>8</v>
      </c>
      <c r="F329" s="102" t="s">
        <v>9</v>
      </c>
      <c r="G329" s="102" t="s">
        <v>10</v>
      </c>
      <c r="H329" s="99" t="s">
        <v>11</v>
      </c>
      <c r="J329" s="99" t="s">
        <v>121</v>
      </c>
      <c r="K329" s="100" t="s">
        <v>5</v>
      </c>
      <c r="L329" s="100" t="s">
        <v>6</v>
      </c>
      <c r="M329" s="101" t="s">
        <v>7</v>
      </c>
      <c r="N329" s="100" t="s">
        <v>8</v>
      </c>
      <c r="O329" s="102" t="s">
        <v>9</v>
      </c>
      <c r="P329" s="102" t="s">
        <v>10</v>
      </c>
      <c r="Q329" s="99" t="s">
        <v>11</v>
      </c>
    </row>
    <row r="330" spans="1:17" ht="15.75">
      <c r="A330" s="103"/>
      <c r="B330" s="104"/>
      <c r="C330" s="105"/>
      <c r="D330" s="106" t="s">
        <v>12</v>
      </c>
      <c r="E330" s="106" t="s">
        <v>13</v>
      </c>
      <c r="F330" s="109" t="s">
        <v>14</v>
      </c>
      <c r="G330" s="109" t="s">
        <v>14</v>
      </c>
      <c r="H330" s="108" t="s">
        <v>15</v>
      </c>
      <c r="J330" s="103"/>
      <c r="K330" s="104"/>
      <c r="L330" s="105"/>
      <c r="M330" s="106" t="s">
        <v>12</v>
      </c>
      <c r="N330" s="106" t="s">
        <v>13</v>
      </c>
      <c r="O330" s="127" t="s">
        <v>391</v>
      </c>
      <c r="P330" s="109" t="s">
        <v>391</v>
      </c>
      <c r="Q330" s="108" t="s">
        <v>15</v>
      </c>
    </row>
    <row r="331" spans="1:17" ht="15">
      <c r="A331" s="110">
        <v>1</v>
      </c>
      <c r="B331" s="23" t="s">
        <v>123</v>
      </c>
      <c r="C331" s="23"/>
      <c r="D331" s="42"/>
      <c r="E331" s="43">
        <v>66900</v>
      </c>
      <c r="F331" s="23">
        <v>2676000</v>
      </c>
      <c r="G331" s="22">
        <v>677000</v>
      </c>
      <c r="H331" s="22">
        <v>120</v>
      </c>
      <c r="J331" s="110">
        <v>1</v>
      </c>
      <c r="K331" s="23" t="s">
        <v>124</v>
      </c>
      <c r="L331" s="23"/>
      <c r="M331" s="42"/>
      <c r="N331" s="43">
        <v>745000</v>
      </c>
      <c r="O331" s="23">
        <v>4470000000</v>
      </c>
      <c r="P331" s="22">
        <v>220102000</v>
      </c>
      <c r="Q331" s="22">
        <v>11000</v>
      </c>
    </row>
    <row r="332" spans="1:17" ht="15">
      <c r="A332" s="111">
        <f>+A331+1</f>
        <v>2</v>
      </c>
      <c r="B332" s="23" t="s">
        <v>124</v>
      </c>
      <c r="C332" s="23"/>
      <c r="D332" s="42"/>
      <c r="E332" s="43">
        <v>751980</v>
      </c>
      <c r="F332" s="23">
        <v>4135890000</v>
      </c>
      <c r="G332" s="22">
        <v>194189000</v>
      </c>
      <c r="H332" s="22">
        <v>7000</v>
      </c>
      <c r="J332" s="111">
        <f>+J331+1</f>
        <v>2</v>
      </c>
      <c r="K332" s="23" t="s">
        <v>125</v>
      </c>
      <c r="L332" s="23">
        <v>163</v>
      </c>
      <c r="M332" s="42">
        <v>163</v>
      </c>
      <c r="N332" s="43">
        <v>405294</v>
      </c>
      <c r="O332" s="23">
        <v>36500000</v>
      </c>
      <c r="P332" s="22">
        <v>15980000</v>
      </c>
      <c r="Q332" s="22">
        <v>900</v>
      </c>
    </row>
    <row r="333" spans="1:17" ht="15">
      <c r="A333" s="111">
        <f>+A332+1</f>
        <v>3</v>
      </c>
      <c r="B333" s="23" t="s">
        <v>125</v>
      </c>
      <c r="C333" s="23">
        <v>129</v>
      </c>
      <c r="D333" s="42">
        <v>129.5</v>
      </c>
      <c r="E333" s="43">
        <v>234253</v>
      </c>
      <c r="F333" s="23">
        <v>9370000</v>
      </c>
      <c r="G333" s="22">
        <v>6129000</v>
      </c>
      <c r="H333" s="22">
        <v>550</v>
      </c>
      <c r="J333" s="111">
        <f>+J332+1</f>
        <v>3</v>
      </c>
      <c r="K333" s="23" t="s">
        <v>123</v>
      </c>
      <c r="L333" s="23"/>
      <c r="M333" s="42"/>
      <c r="N333" s="43">
        <v>119600</v>
      </c>
      <c r="O333" s="23">
        <v>10700000</v>
      </c>
      <c r="P333" s="22">
        <v>6392000</v>
      </c>
      <c r="Q333" s="22">
        <v>350</v>
      </c>
    </row>
    <row r="334" spans="1:17" ht="15.75">
      <c r="A334" s="124"/>
      <c r="B334" s="158" t="s">
        <v>129</v>
      </c>
      <c r="C334" s="159">
        <f aca="true" t="shared" si="45" ref="C334:H334">SUM(C331:C333)</f>
        <v>129</v>
      </c>
      <c r="D334" s="160">
        <f t="shared" si="45"/>
        <v>129.5</v>
      </c>
      <c r="E334" s="159">
        <f t="shared" si="45"/>
        <v>1053133</v>
      </c>
      <c r="F334" s="161">
        <f t="shared" si="45"/>
        <v>4147936000</v>
      </c>
      <c r="G334" s="161">
        <f t="shared" si="45"/>
        <v>200995000</v>
      </c>
      <c r="H334" s="128">
        <f t="shared" si="45"/>
        <v>7670</v>
      </c>
      <c r="J334" s="124"/>
      <c r="K334" s="158" t="s">
        <v>129</v>
      </c>
      <c r="L334" s="100">
        <f aca="true" t="shared" si="46" ref="L334:Q334">SUM(L331:L333)</f>
        <v>163</v>
      </c>
      <c r="M334" s="101">
        <f t="shared" si="46"/>
        <v>163</v>
      </c>
      <c r="N334" s="102">
        <f t="shared" si="46"/>
        <v>1269894</v>
      </c>
      <c r="O334" s="100">
        <f t="shared" si="46"/>
        <v>4517200000</v>
      </c>
      <c r="P334" s="100">
        <f t="shared" si="46"/>
        <v>242474000</v>
      </c>
      <c r="Q334" s="100">
        <f t="shared" si="46"/>
        <v>12250</v>
      </c>
    </row>
    <row r="335" spans="1:17" ht="16.5" customHeight="1">
      <c r="A335" s="152"/>
      <c r="B335" s="153"/>
      <c r="C335" s="154"/>
      <c r="D335" s="155"/>
      <c r="E335" s="155"/>
      <c r="F335" s="156"/>
      <c r="G335" s="156"/>
      <c r="H335" s="157"/>
      <c r="J335" s="152"/>
      <c r="K335" s="153"/>
      <c r="L335" s="154"/>
      <c r="M335" s="155"/>
      <c r="N335" s="155"/>
      <c r="O335" s="156"/>
      <c r="Q335" s="157"/>
    </row>
    <row r="336" spans="1:17" ht="15.75">
      <c r="A336" s="95"/>
      <c r="B336" s="39"/>
      <c r="C336" s="40"/>
      <c r="D336" s="135" t="s">
        <v>86</v>
      </c>
      <c r="E336" s="97"/>
      <c r="F336" s="41"/>
      <c r="G336" s="41"/>
      <c r="H336" s="98"/>
      <c r="J336" s="95"/>
      <c r="K336" s="39"/>
      <c r="L336" s="40"/>
      <c r="M336" s="135" t="s">
        <v>86</v>
      </c>
      <c r="N336" s="97"/>
      <c r="O336" s="41"/>
      <c r="P336" s="41"/>
      <c r="Q336" s="98"/>
    </row>
    <row r="337" spans="1:17" ht="15">
      <c r="A337" s="99" t="s">
        <v>121</v>
      </c>
      <c r="B337" s="100" t="s">
        <v>5</v>
      </c>
      <c r="C337" s="100" t="s">
        <v>6</v>
      </c>
      <c r="D337" s="101" t="s">
        <v>7</v>
      </c>
      <c r="E337" s="100" t="s">
        <v>8</v>
      </c>
      <c r="F337" s="102" t="s">
        <v>9</v>
      </c>
      <c r="G337" s="102" t="s">
        <v>10</v>
      </c>
      <c r="H337" s="99" t="s">
        <v>11</v>
      </c>
      <c r="J337" s="99" t="s">
        <v>121</v>
      </c>
      <c r="K337" s="100" t="s">
        <v>5</v>
      </c>
      <c r="L337" s="100" t="s">
        <v>6</v>
      </c>
      <c r="M337" s="101" t="s">
        <v>7</v>
      </c>
      <c r="N337" s="100" t="s">
        <v>8</v>
      </c>
      <c r="O337" s="102" t="s">
        <v>9</v>
      </c>
      <c r="P337" s="102" t="s">
        <v>10</v>
      </c>
      <c r="Q337" s="99" t="s">
        <v>11</v>
      </c>
    </row>
    <row r="338" spans="1:17" ht="15.75">
      <c r="A338" s="103"/>
      <c r="B338" s="104"/>
      <c r="C338" s="105"/>
      <c r="D338" s="106" t="s">
        <v>12</v>
      </c>
      <c r="E338" s="106" t="s">
        <v>13</v>
      </c>
      <c r="F338" s="109" t="s">
        <v>14</v>
      </c>
      <c r="G338" s="109" t="s">
        <v>14</v>
      </c>
      <c r="H338" s="108" t="s">
        <v>15</v>
      </c>
      <c r="J338" s="103"/>
      <c r="K338" s="104"/>
      <c r="L338" s="105"/>
      <c r="M338" s="106" t="s">
        <v>12</v>
      </c>
      <c r="N338" s="106" t="s">
        <v>13</v>
      </c>
      <c r="O338" s="109" t="s">
        <v>14</v>
      </c>
      <c r="P338" s="109" t="s">
        <v>14</v>
      </c>
      <c r="Q338" s="108" t="s">
        <v>15</v>
      </c>
    </row>
    <row r="339" spans="1:17" ht="15">
      <c r="A339" s="110">
        <v>1</v>
      </c>
      <c r="B339" s="23" t="s">
        <v>137</v>
      </c>
      <c r="C339" s="23">
        <v>90</v>
      </c>
      <c r="D339" s="42">
        <v>1049.31</v>
      </c>
      <c r="E339" s="43">
        <v>2291990</v>
      </c>
      <c r="F339" s="23">
        <v>320878600</v>
      </c>
      <c r="G339" s="22">
        <v>70403000</v>
      </c>
      <c r="H339" s="22">
        <v>900</v>
      </c>
      <c r="J339" s="110">
        <v>1</v>
      </c>
      <c r="K339" s="23" t="s">
        <v>137</v>
      </c>
      <c r="L339" s="23">
        <v>136</v>
      </c>
      <c r="M339" s="42">
        <v>790</v>
      </c>
      <c r="N339" s="43">
        <v>1769025</v>
      </c>
      <c r="O339" s="23">
        <v>238818375</v>
      </c>
      <c r="P339" s="22">
        <v>110345000</v>
      </c>
      <c r="Q339" s="22">
        <v>1355</v>
      </c>
    </row>
    <row r="340" spans="1:17" ht="15">
      <c r="A340" s="111">
        <v>2</v>
      </c>
      <c r="B340" s="23" t="s">
        <v>125</v>
      </c>
      <c r="C340" s="23">
        <v>216</v>
      </c>
      <c r="D340" s="42">
        <v>200.985</v>
      </c>
      <c r="E340" s="43">
        <v>2001275</v>
      </c>
      <c r="F340" s="23">
        <v>80051000</v>
      </c>
      <c r="G340" s="22">
        <v>37861000</v>
      </c>
      <c r="H340" s="22">
        <v>3520</v>
      </c>
      <c r="J340" s="111">
        <v>2</v>
      </c>
      <c r="K340" s="23" t="s">
        <v>125</v>
      </c>
      <c r="L340" s="23">
        <v>286</v>
      </c>
      <c r="M340" s="42">
        <v>269.05</v>
      </c>
      <c r="N340" s="43">
        <v>2017770</v>
      </c>
      <c r="O340" s="23">
        <v>70621950</v>
      </c>
      <c r="P340" s="22">
        <v>86186000</v>
      </c>
      <c r="Q340" s="22">
        <v>4310</v>
      </c>
    </row>
    <row r="341" spans="1:17" ht="15">
      <c r="A341" s="111">
        <v>3</v>
      </c>
      <c r="B341" s="23" t="s">
        <v>140</v>
      </c>
      <c r="C341" s="23" t="s">
        <v>53</v>
      </c>
      <c r="D341" s="42" t="s">
        <v>53</v>
      </c>
      <c r="E341" s="43">
        <v>90580</v>
      </c>
      <c r="F341" s="23">
        <v>45290000</v>
      </c>
      <c r="G341" s="22"/>
      <c r="H341" s="22" t="s">
        <v>53</v>
      </c>
      <c r="J341" s="111">
        <v>3</v>
      </c>
      <c r="K341" s="23" t="s">
        <v>140</v>
      </c>
      <c r="L341" s="23"/>
      <c r="M341" s="42"/>
      <c r="N341" s="43">
        <v>140250</v>
      </c>
      <c r="O341" s="23">
        <v>70125000</v>
      </c>
      <c r="P341" s="22"/>
      <c r="Q341" s="22">
        <v>360</v>
      </c>
    </row>
    <row r="342" spans="1:17" ht="15">
      <c r="A342" s="111">
        <v>4</v>
      </c>
      <c r="B342" s="23" t="s">
        <v>124</v>
      </c>
      <c r="C342" s="23">
        <v>4</v>
      </c>
      <c r="D342" s="42">
        <v>8</v>
      </c>
      <c r="E342" s="43">
        <v>200</v>
      </c>
      <c r="F342" s="23">
        <v>100000</v>
      </c>
      <c r="G342" s="22">
        <v>1100000</v>
      </c>
      <c r="H342" s="22">
        <v>40</v>
      </c>
      <c r="J342" s="111">
        <v>4</v>
      </c>
      <c r="K342" s="23" t="s">
        <v>124</v>
      </c>
      <c r="L342" s="23">
        <v>3</v>
      </c>
      <c r="M342" s="42">
        <v>3.483</v>
      </c>
      <c r="N342" s="43">
        <v>2195</v>
      </c>
      <c r="O342" s="23">
        <v>1536500</v>
      </c>
      <c r="P342" s="22">
        <v>428000</v>
      </c>
      <c r="Q342" s="22">
        <v>97</v>
      </c>
    </row>
    <row r="343" spans="1:17" ht="15">
      <c r="A343" s="171"/>
      <c r="B343" s="185"/>
      <c r="C343" s="137"/>
      <c r="D343" s="329"/>
      <c r="E343" s="330"/>
      <c r="F343" s="137"/>
      <c r="G343" s="331"/>
      <c r="H343" s="331"/>
      <c r="J343" s="171">
        <v>5</v>
      </c>
      <c r="K343" s="23" t="s">
        <v>128</v>
      </c>
      <c r="L343" s="23"/>
      <c r="M343" s="42"/>
      <c r="N343" s="43"/>
      <c r="O343" s="23"/>
      <c r="P343" s="22">
        <v>11013000</v>
      </c>
      <c r="Q343" s="22"/>
    </row>
    <row r="344" spans="1:17" ht="15">
      <c r="A344" s="171"/>
      <c r="B344" s="185"/>
      <c r="C344" s="137"/>
      <c r="D344" s="329"/>
      <c r="E344" s="330"/>
      <c r="F344" s="137"/>
      <c r="G344" s="331"/>
      <c r="H344" s="331"/>
      <c r="J344" s="171">
        <v>6</v>
      </c>
      <c r="K344" s="23" t="s">
        <v>41</v>
      </c>
      <c r="L344" s="23"/>
      <c r="M344" s="42"/>
      <c r="N344" s="43"/>
      <c r="O344" s="23"/>
      <c r="P344" s="22">
        <v>14254000</v>
      </c>
      <c r="Q344" s="22"/>
    </row>
    <row r="345" spans="1:17" ht="15.75">
      <c r="A345" s="124"/>
      <c r="B345" s="158" t="s">
        <v>129</v>
      </c>
      <c r="C345" s="207">
        <f aca="true" t="shared" si="47" ref="C345:H345">SUM(C339:C342)</f>
        <v>310</v>
      </c>
      <c r="D345" s="208">
        <f t="shared" si="47"/>
        <v>1258.295</v>
      </c>
      <c r="E345" s="207">
        <f t="shared" si="47"/>
        <v>4384045</v>
      </c>
      <c r="F345" s="209">
        <f t="shared" si="47"/>
        <v>446319600</v>
      </c>
      <c r="G345" s="210">
        <f t="shared" si="47"/>
        <v>109364000</v>
      </c>
      <c r="H345" s="211">
        <f t="shared" si="47"/>
        <v>4460</v>
      </c>
      <c r="J345" s="124"/>
      <c r="K345" s="158" t="s">
        <v>129</v>
      </c>
      <c r="L345" s="100">
        <f>SUM(L339:L342)</f>
        <v>425</v>
      </c>
      <c r="M345" s="101">
        <f>SUM(M339:M342)</f>
        <v>1062.533</v>
      </c>
      <c r="N345" s="102">
        <f>SUM(N339:N342)</f>
        <v>3929240</v>
      </c>
      <c r="O345" s="100">
        <f>SUM(O339:O342)</f>
        <v>381101825</v>
      </c>
      <c r="P345" s="100">
        <f>SUM(P339:P344)</f>
        <v>222226000</v>
      </c>
      <c r="Q345" s="100">
        <f>SUM(Q339:Q342)</f>
        <v>6122</v>
      </c>
    </row>
    <row r="346" spans="1:17" ht="10.5" customHeight="1">
      <c r="A346" s="152"/>
      <c r="B346" s="153"/>
      <c r="C346" s="154"/>
      <c r="D346" s="155"/>
      <c r="E346" s="155"/>
      <c r="F346" s="156"/>
      <c r="G346" s="156"/>
      <c r="H346" s="157"/>
      <c r="J346" s="152"/>
      <c r="K346" s="153"/>
      <c r="L346" s="154"/>
      <c r="M346" s="155"/>
      <c r="N346" s="155"/>
      <c r="O346" s="156"/>
      <c r="P346" s="156"/>
      <c r="Q346" s="157"/>
    </row>
    <row r="347" spans="1:17" ht="15.75">
      <c r="A347" s="95"/>
      <c r="B347" s="39"/>
      <c r="C347" s="40"/>
      <c r="D347" s="135" t="s">
        <v>88</v>
      </c>
      <c r="E347" s="97"/>
      <c r="F347" s="41"/>
      <c r="G347" s="41"/>
      <c r="H347" s="98"/>
      <c r="J347" s="95"/>
      <c r="K347" s="39"/>
      <c r="L347" s="40"/>
      <c r="M347" s="135" t="s">
        <v>88</v>
      </c>
      <c r="N347" s="97"/>
      <c r="O347" s="41"/>
      <c r="P347" s="41"/>
      <c r="Q347" s="98"/>
    </row>
    <row r="348" spans="1:17" ht="15">
      <c r="A348" s="99" t="s">
        <v>121</v>
      </c>
      <c r="B348" s="100" t="s">
        <v>5</v>
      </c>
      <c r="C348" s="100" t="s">
        <v>6</v>
      </c>
      <c r="D348" s="101" t="s">
        <v>7</v>
      </c>
      <c r="E348" s="100" t="s">
        <v>8</v>
      </c>
      <c r="F348" s="102" t="s">
        <v>9</v>
      </c>
      <c r="G348" s="102" t="s">
        <v>10</v>
      </c>
      <c r="H348" s="99" t="s">
        <v>11</v>
      </c>
      <c r="J348" s="99" t="s">
        <v>121</v>
      </c>
      <c r="K348" s="100" t="s">
        <v>5</v>
      </c>
      <c r="L348" s="100" t="s">
        <v>6</v>
      </c>
      <c r="M348" s="101" t="s">
        <v>7</v>
      </c>
      <c r="N348" s="100" t="s">
        <v>8</v>
      </c>
      <c r="O348" s="102" t="s">
        <v>9</v>
      </c>
      <c r="P348" s="102" t="s">
        <v>10</v>
      </c>
      <c r="Q348" s="99" t="s">
        <v>11</v>
      </c>
    </row>
    <row r="349" spans="1:17" ht="15.75">
      <c r="A349" s="103"/>
      <c r="B349" s="104"/>
      <c r="C349" s="105"/>
      <c r="D349" s="106" t="s">
        <v>12</v>
      </c>
      <c r="E349" s="106" t="s">
        <v>13</v>
      </c>
      <c r="F349" s="109" t="s">
        <v>14</v>
      </c>
      <c r="G349" s="109" t="s">
        <v>14</v>
      </c>
      <c r="H349" s="108" t="s">
        <v>15</v>
      </c>
      <c r="J349" s="103"/>
      <c r="K349" s="104"/>
      <c r="L349" s="105"/>
      <c r="M349" s="106" t="s">
        <v>12</v>
      </c>
      <c r="N349" s="106" t="s">
        <v>13</v>
      </c>
      <c r="O349" s="127" t="s">
        <v>391</v>
      </c>
      <c r="P349" s="109" t="s">
        <v>391</v>
      </c>
      <c r="Q349" s="108" t="s">
        <v>15</v>
      </c>
    </row>
    <row r="350" spans="1:17" ht="15">
      <c r="A350" s="110">
        <v>1</v>
      </c>
      <c r="B350" s="23" t="s">
        <v>170</v>
      </c>
      <c r="C350" s="23">
        <v>3</v>
      </c>
      <c r="D350" s="42">
        <v>2.015</v>
      </c>
      <c r="E350" s="43">
        <v>1510</v>
      </c>
      <c r="F350" s="23">
        <v>151000</v>
      </c>
      <c r="G350" s="22">
        <v>200948</v>
      </c>
      <c r="H350" s="22">
        <v>16</v>
      </c>
      <c r="J350" s="110">
        <v>1</v>
      </c>
      <c r="K350" s="23" t="s">
        <v>170</v>
      </c>
      <c r="L350" s="23">
        <v>3</v>
      </c>
      <c r="M350" s="23">
        <v>2.015</v>
      </c>
      <c r="N350" s="43">
        <v>1805</v>
      </c>
      <c r="O350" s="23">
        <v>198550</v>
      </c>
      <c r="P350" s="22">
        <v>564349</v>
      </c>
      <c r="Q350" s="22">
        <v>16</v>
      </c>
    </row>
    <row r="351" spans="1:17" ht="15">
      <c r="A351" s="111">
        <v>2</v>
      </c>
      <c r="B351" s="23" t="s">
        <v>122</v>
      </c>
      <c r="C351" s="23">
        <v>1</v>
      </c>
      <c r="D351" s="42">
        <v>3</v>
      </c>
      <c r="E351" s="43"/>
      <c r="F351" s="23"/>
      <c r="G351" s="22">
        <v>0</v>
      </c>
      <c r="H351" s="22"/>
      <c r="J351" s="111">
        <v>2</v>
      </c>
      <c r="K351" s="23" t="s">
        <v>137</v>
      </c>
      <c r="L351" s="23">
        <v>4</v>
      </c>
      <c r="M351" s="23">
        <v>126.1</v>
      </c>
      <c r="N351" s="43">
        <v>352670</v>
      </c>
      <c r="O351" s="23">
        <v>42320400</v>
      </c>
      <c r="P351" s="22">
        <v>22420655</v>
      </c>
      <c r="Q351" s="22"/>
    </row>
    <row r="352" spans="1:17" ht="15">
      <c r="A352" s="111">
        <f>+A351+1</f>
        <v>3</v>
      </c>
      <c r="B352" s="23" t="s">
        <v>123</v>
      </c>
      <c r="C352" s="23"/>
      <c r="D352" s="42"/>
      <c r="E352" s="43"/>
      <c r="F352" s="23"/>
      <c r="G352" s="22">
        <v>3947784</v>
      </c>
      <c r="H352" s="22"/>
      <c r="J352" s="111">
        <f>+J351+1</f>
        <v>3</v>
      </c>
      <c r="K352" s="23" t="s">
        <v>125</v>
      </c>
      <c r="L352" s="23">
        <v>4</v>
      </c>
      <c r="M352" s="23">
        <v>4</v>
      </c>
      <c r="N352" s="43">
        <v>0</v>
      </c>
      <c r="O352" s="23">
        <v>0</v>
      </c>
      <c r="P352" s="22">
        <v>92437</v>
      </c>
      <c r="Q352" s="22">
        <v>12</v>
      </c>
    </row>
    <row r="353" spans="1:17" ht="15">
      <c r="A353" s="111">
        <f aca="true" t="shared" si="48" ref="A353:A358">+A352+1</f>
        <v>4</v>
      </c>
      <c r="B353" s="23" t="s">
        <v>137</v>
      </c>
      <c r="C353" s="23">
        <v>4</v>
      </c>
      <c r="D353" s="42">
        <v>124.08</v>
      </c>
      <c r="E353" s="43">
        <v>6393</v>
      </c>
      <c r="F353" s="23">
        <v>447510</v>
      </c>
      <c r="G353" s="22">
        <v>591235</v>
      </c>
      <c r="H353" s="22">
        <v>27</v>
      </c>
      <c r="J353" s="111">
        <f aca="true" t="shared" si="49" ref="J353:J359">+J352+1</f>
        <v>4</v>
      </c>
      <c r="K353" s="23" t="s">
        <v>172</v>
      </c>
      <c r="L353" s="23">
        <v>1</v>
      </c>
      <c r="M353" s="23">
        <v>0.24</v>
      </c>
      <c r="N353" s="43">
        <v>0</v>
      </c>
      <c r="O353" s="23">
        <v>0</v>
      </c>
      <c r="P353" s="22"/>
      <c r="Q353" s="22">
        <v>2</v>
      </c>
    </row>
    <row r="354" spans="1:17" ht="15">
      <c r="A354" s="111">
        <f t="shared" si="48"/>
        <v>5</v>
      </c>
      <c r="B354" s="23" t="s">
        <v>124</v>
      </c>
      <c r="C354" s="23">
        <v>22</v>
      </c>
      <c r="D354" s="42">
        <v>82</v>
      </c>
      <c r="E354" s="43">
        <v>5603</v>
      </c>
      <c r="F354" s="23">
        <v>2521350</v>
      </c>
      <c r="G354" s="22">
        <v>3308141</v>
      </c>
      <c r="H354" s="22">
        <v>30</v>
      </c>
      <c r="J354" s="111">
        <f t="shared" si="49"/>
        <v>5</v>
      </c>
      <c r="K354" s="23" t="s">
        <v>124</v>
      </c>
      <c r="L354" s="23">
        <v>26</v>
      </c>
      <c r="M354" s="23">
        <v>95.39</v>
      </c>
      <c r="N354" s="43">
        <v>6515</v>
      </c>
      <c r="O354" s="23">
        <v>2931750</v>
      </c>
      <c r="P354" s="22">
        <v>8661002</v>
      </c>
      <c r="Q354" s="22">
        <v>35</v>
      </c>
    </row>
    <row r="355" spans="1:17" ht="15">
      <c r="A355" s="111">
        <f t="shared" si="48"/>
        <v>6</v>
      </c>
      <c r="B355" s="23" t="s">
        <v>125</v>
      </c>
      <c r="C355" s="23">
        <v>16</v>
      </c>
      <c r="D355" s="42">
        <v>17.75</v>
      </c>
      <c r="E355" s="43">
        <v>3388</v>
      </c>
      <c r="F355" s="23">
        <v>67760</v>
      </c>
      <c r="G355" s="22">
        <v>706769</v>
      </c>
      <c r="H355" s="22">
        <v>10</v>
      </c>
      <c r="J355" s="111">
        <f t="shared" si="49"/>
        <v>6</v>
      </c>
      <c r="K355" s="23" t="s">
        <v>122</v>
      </c>
      <c r="L355" s="23">
        <v>1</v>
      </c>
      <c r="M355" s="23">
        <v>3</v>
      </c>
      <c r="N355" s="43">
        <v>1416</v>
      </c>
      <c r="O355" s="23"/>
      <c r="P355" s="22">
        <v>75000</v>
      </c>
      <c r="Q355" s="22"/>
    </row>
    <row r="356" spans="1:17" ht="15">
      <c r="A356" s="111">
        <f t="shared" si="48"/>
        <v>7</v>
      </c>
      <c r="B356" s="23" t="s">
        <v>171</v>
      </c>
      <c r="C356" s="23">
        <v>1</v>
      </c>
      <c r="D356" s="42">
        <v>0.24</v>
      </c>
      <c r="E356" s="43">
        <v>600</v>
      </c>
      <c r="F356" s="23">
        <v>12000</v>
      </c>
      <c r="G356" s="22">
        <v>7840</v>
      </c>
      <c r="H356" s="22">
        <v>2</v>
      </c>
      <c r="J356" s="111">
        <f t="shared" si="49"/>
        <v>7</v>
      </c>
      <c r="K356" s="23" t="s">
        <v>165</v>
      </c>
      <c r="L356" s="23"/>
      <c r="M356" s="23"/>
      <c r="N356" s="43">
        <v>271765</v>
      </c>
      <c r="O356" s="23"/>
      <c r="P356" s="22">
        <v>55402917</v>
      </c>
      <c r="Q356" s="22"/>
    </row>
    <row r="357" spans="1:17" ht="15">
      <c r="A357" s="111">
        <f t="shared" si="48"/>
        <v>8</v>
      </c>
      <c r="B357" s="23" t="s">
        <v>173</v>
      </c>
      <c r="C357" s="23"/>
      <c r="D357" s="42"/>
      <c r="E357" s="43"/>
      <c r="F357" s="23"/>
      <c r="G357" s="22">
        <v>8857350</v>
      </c>
      <c r="H357" s="22"/>
      <c r="J357" s="111">
        <f t="shared" si="49"/>
        <v>8</v>
      </c>
      <c r="K357" s="23" t="s">
        <v>123</v>
      </c>
      <c r="L357" s="23"/>
      <c r="M357" s="23"/>
      <c r="N357" s="375">
        <v>1139276</v>
      </c>
      <c r="O357" s="366">
        <v>227855220</v>
      </c>
      <c r="P357" s="22">
        <v>22785522</v>
      </c>
      <c r="Q357" s="22">
        <v>90</v>
      </c>
    </row>
    <row r="358" spans="1:17" ht="15">
      <c r="A358" s="111">
        <f t="shared" si="48"/>
        <v>9</v>
      </c>
      <c r="B358" s="23" t="s">
        <v>133</v>
      </c>
      <c r="C358" s="23"/>
      <c r="D358" s="42"/>
      <c r="E358" s="43">
        <v>287431</v>
      </c>
      <c r="F358" s="23">
        <v>114972440</v>
      </c>
      <c r="G358" s="22">
        <f>24471437+3769900</f>
        <v>28241337</v>
      </c>
      <c r="H358" s="22"/>
      <c r="J358" s="111">
        <f t="shared" si="49"/>
        <v>9</v>
      </c>
      <c r="K358" s="23" t="s">
        <v>128</v>
      </c>
      <c r="L358" s="23"/>
      <c r="M358" s="23"/>
      <c r="N358" s="43"/>
      <c r="O358" s="23"/>
      <c r="P358" s="22">
        <v>1343043</v>
      </c>
      <c r="Q358" s="22"/>
    </row>
    <row r="359" spans="1:17" ht="15.75">
      <c r="A359" s="111"/>
      <c r="B359" s="23"/>
      <c r="C359" s="23"/>
      <c r="D359" s="42"/>
      <c r="E359" s="43"/>
      <c r="F359" s="23"/>
      <c r="G359" s="22"/>
      <c r="H359" s="22"/>
      <c r="J359" s="111">
        <f t="shared" si="49"/>
        <v>10</v>
      </c>
      <c r="K359" s="23" t="s">
        <v>41</v>
      </c>
      <c r="L359" s="212"/>
      <c r="M359" s="23"/>
      <c r="N359" s="91"/>
      <c r="O359" s="91"/>
      <c r="P359" s="91">
        <v>335580</v>
      </c>
      <c r="Q359" s="175"/>
    </row>
    <row r="360" spans="1:17" ht="15.75">
      <c r="A360" s="111" t="e">
        <f>+#REF!+1</f>
        <v>#REF!</v>
      </c>
      <c r="B360" s="23" t="s">
        <v>41</v>
      </c>
      <c r="C360" s="16"/>
      <c r="D360" s="174"/>
      <c r="E360" s="174"/>
      <c r="F360" s="91"/>
      <c r="G360" s="91">
        <v>4411402</v>
      </c>
      <c r="H360" s="175"/>
      <c r="J360" s="112"/>
      <c r="K360" s="113" t="s">
        <v>129</v>
      </c>
      <c r="L360" s="100">
        <f aca="true" t="shared" si="50" ref="L360:Q360">SUM(L350:L359)</f>
        <v>39</v>
      </c>
      <c r="M360" s="101">
        <f t="shared" si="50"/>
        <v>230.745</v>
      </c>
      <c r="N360" s="102">
        <f t="shared" si="50"/>
        <v>1773447</v>
      </c>
      <c r="O360" s="100">
        <f t="shared" si="50"/>
        <v>273305920</v>
      </c>
      <c r="P360" s="100">
        <f t="shared" si="50"/>
        <v>111680505</v>
      </c>
      <c r="Q360" s="100">
        <f t="shared" si="50"/>
        <v>155</v>
      </c>
    </row>
    <row r="361" spans="1:17" ht="15.75">
      <c r="A361" s="112"/>
      <c r="B361" s="113" t="s">
        <v>129</v>
      </c>
      <c r="C361" s="114">
        <f aca="true" t="shared" si="51" ref="C361:H361">SUM(C350:C360)</f>
        <v>47</v>
      </c>
      <c r="D361" s="115">
        <f t="shared" si="51"/>
        <v>229.085</v>
      </c>
      <c r="E361" s="114">
        <f t="shared" si="51"/>
        <v>304925</v>
      </c>
      <c r="F361" s="116">
        <f t="shared" si="51"/>
        <v>118172060</v>
      </c>
      <c r="G361" s="116">
        <f t="shared" si="51"/>
        <v>50272806</v>
      </c>
      <c r="H361" s="117">
        <f t="shared" si="51"/>
        <v>85</v>
      </c>
      <c r="J361" s="118"/>
      <c r="K361" s="119"/>
      <c r="L361" s="49"/>
      <c r="M361" s="68"/>
      <c r="N361" s="68"/>
      <c r="O361" s="50"/>
      <c r="Q361" s="120"/>
    </row>
    <row r="362" spans="1:17" ht="18.75">
      <c r="A362" s="356"/>
      <c r="B362" s="357"/>
      <c r="C362" s="358"/>
      <c r="D362" s="146"/>
      <c r="E362" s="358"/>
      <c r="F362" s="359"/>
      <c r="G362" s="359"/>
      <c r="H362" s="149"/>
      <c r="J362" s="95"/>
      <c r="K362" s="39"/>
      <c r="L362" s="40"/>
      <c r="M362" s="13" t="s">
        <v>264</v>
      </c>
      <c r="N362" s="97"/>
      <c r="O362" s="41"/>
      <c r="P362" s="41"/>
      <c r="Q362" s="98"/>
    </row>
    <row r="363" spans="1:17" ht="15.75">
      <c r="A363" s="356"/>
      <c r="B363" s="357"/>
      <c r="C363" s="358"/>
      <c r="D363" s="146"/>
      <c r="E363" s="358"/>
      <c r="F363" s="359"/>
      <c r="G363" s="359"/>
      <c r="H363" s="149"/>
      <c r="J363" s="99" t="s">
        <v>121</v>
      </c>
      <c r="K363" s="100" t="s">
        <v>5</v>
      </c>
      <c r="L363" s="100" t="s">
        <v>6</v>
      </c>
      <c r="M363" s="101" t="s">
        <v>7</v>
      </c>
      <c r="N363" s="100" t="s">
        <v>8</v>
      </c>
      <c r="O363" s="102" t="s">
        <v>9</v>
      </c>
      <c r="P363" s="102" t="s">
        <v>10</v>
      </c>
      <c r="Q363" s="99" t="s">
        <v>11</v>
      </c>
    </row>
    <row r="364" spans="1:17" ht="15.75">
      <c r="A364" s="356"/>
      <c r="B364" s="357"/>
      <c r="C364" s="358"/>
      <c r="D364" s="146"/>
      <c r="E364" s="358"/>
      <c r="F364" s="359"/>
      <c r="G364" s="359"/>
      <c r="H364" s="149"/>
      <c r="J364" s="103"/>
      <c r="K364" s="104"/>
      <c r="L364" s="105"/>
      <c r="M364" s="106" t="s">
        <v>12</v>
      </c>
      <c r="N364" s="106" t="s">
        <v>13</v>
      </c>
      <c r="O364" s="127" t="s">
        <v>391</v>
      </c>
      <c r="P364" s="109" t="s">
        <v>391</v>
      </c>
      <c r="Q364" s="108" t="s">
        <v>15</v>
      </c>
    </row>
    <row r="365" spans="1:17" ht="15.75">
      <c r="A365" s="356"/>
      <c r="B365" s="357"/>
      <c r="C365" s="358"/>
      <c r="D365" s="146"/>
      <c r="E365" s="358"/>
      <c r="F365" s="359"/>
      <c r="G365" s="359"/>
      <c r="H365" s="149"/>
      <c r="J365" s="110">
        <v>1</v>
      </c>
      <c r="K365" s="23" t="s">
        <v>124</v>
      </c>
      <c r="L365" s="23">
        <v>16</v>
      </c>
      <c r="M365" s="23">
        <v>19</v>
      </c>
      <c r="N365" s="43">
        <v>48250</v>
      </c>
      <c r="O365" s="23">
        <v>14012500</v>
      </c>
      <c r="P365" s="22">
        <v>2532000</v>
      </c>
      <c r="Q365" s="22">
        <v>36</v>
      </c>
    </row>
    <row r="366" spans="1:17" ht="15.75">
      <c r="A366" s="356"/>
      <c r="B366" s="357"/>
      <c r="C366" s="358"/>
      <c r="D366" s="146"/>
      <c r="E366" s="358"/>
      <c r="F366" s="359"/>
      <c r="G366" s="359"/>
      <c r="H366" s="149"/>
      <c r="J366" s="111">
        <v>2</v>
      </c>
      <c r="K366" s="23" t="s">
        <v>137</v>
      </c>
      <c r="L366" s="23">
        <v>8</v>
      </c>
      <c r="M366" s="23">
        <v>9.48</v>
      </c>
      <c r="N366" s="43">
        <v>26552</v>
      </c>
      <c r="O366" s="23">
        <v>5044880</v>
      </c>
      <c r="P366" s="22">
        <v>3845000</v>
      </c>
      <c r="Q366" s="22">
        <v>16</v>
      </c>
    </row>
    <row r="367" spans="1:17" ht="15.75">
      <c r="A367" s="356"/>
      <c r="B367" s="357"/>
      <c r="C367" s="358"/>
      <c r="D367" s="146"/>
      <c r="E367" s="358"/>
      <c r="F367" s="359"/>
      <c r="G367" s="359"/>
      <c r="H367" s="149"/>
      <c r="J367" s="111">
        <f>+J366+1</f>
        <v>3</v>
      </c>
      <c r="K367" s="23" t="s">
        <v>125</v>
      </c>
      <c r="L367" s="23">
        <v>14</v>
      </c>
      <c r="M367" s="23">
        <v>16</v>
      </c>
      <c r="N367" s="43">
        <v>13283</v>
      </c>
      <c r="O367" s="23">
        <v>1328300</v>
      </c>
      <c r="P367" s="188">
        <v>3300000</v>
      </c>
      <c r="Q367" s="188">
        <v>28</v>
      </c>
    </row>
    <row r="368" spans="1:17" ht="15.75">
      <c r="A368" s="356"/>
      <c r="B368" s="357"/>
      <c r="C368" s="358"/>
      <c r="D368" s="146"/>
      <c r="E368" s="358"/>
      <c r="F368" s="359"/>
      <c r="G368" s="359"/>
      <c r="H368" s="149"/>
      <c r="J368" s="111">
        <f aca="true" t="shared" si="52" ref="J368:J373">+J367+1</f>
        <v>4</v>
      </c>
      <c r="K368" s="360" t="s">
        <v>183</v>
      </c>
      <c r="L368" s="23">
        <v>24</v>
      </c>
      <c r="M368" s="23">
        <v>54</v>
      </c>
      <c r="N368" s="43">
        <v>6658</v>
      </c>
      <c r="O368" s="347">
        <v>27297800</v>
      </c>
      <c r="P368" s="313">
        <v>734000</v>
      </c>
      <c r="Q368" s="313">
        <v>48</v>
      </c>
    </row>
    <row r="369" spans="1:17" ht="15.75">
      <c r="A369" s="356"/>
      <c r="B369" s="357"/>
      <c r="C369" s="358"/>
      <c r="D369" s="146"/>
      <c r="E369" s="358"/>
      <c r="F369" s="359"/>
      <c r="G369" s="359"/>
      <c r="H369" s="149"/>
      <c r="J369" s="111">
        <f t="shared" si="52"/>
        <v>5</v>
      </c>
      <c r="K369" s="23" t="s">
        <v>123</v>
      </c>
      <c r="L369" s="23"/>
      <c r="M369" s="23"/>
      <c r="N369" s="43"/>
      <c r="O369" s="347"/>
      <c r="P369" s="313">
        <v>2407000</v>
      </c>
      <c r="Q369" s="313"/>
    </row>
    <row r="370" spans="1:17" ht="15.75">
      <c r="A370" s="356"/>
      <c r="B370" s="357"/>
      <c r="C370" s="358"/>
      <c r="D370" s="146"/>
      <c r="E370" s="358"/>
      <c r="F370" s="359"/>
      <c r="G370" s="359"/>
      <c r="H370" s="149"/>
      <c r="J370" s="111">
        <f t="shared" si="52"/>
        <v>6</v>
      </c>
      <c r="K370" s="360" t="s">
        <v>265</v>
      </c>
      <c r="L370" s="23"/>
      <c r="M370" s="23"/>
      <c r="N370" s="43"/>
      <c r="O370" s="347"/>
      <c r="P370" s="313">
        <v>19000</v>
      </c>
      <c r="Q370" s="313"/>
    </row>
    <row r="371" spans="1:17" ht="15.75">
      <c r="A371" s="356"/>
      <c r="B371" s="357"/>
      <c r="C371" s="358"/>
      <c r="D371" s="146"/>
      <c r="E371" s="358"/>
      <c r="F371" s="359"/>
      <c r="G371" s="359"/>
      <c r="H371" s="149"/>
      <c r="J371" s="111">
        <f t="shared" si="52"/>
        <v>7</v>
      </c>
      <c r="K371" s="23" t="s">
        <v>145</v>
      </c>
      <c r="L371" s="23"/>
      <c r="M371" s="23"/>
      <c r="N371" s="43"/>
      <c r="O371" s="23"/>
      <c r="P371" s="343"/>
      <c r="Q371" s="343"/>
    </row>
    <row r="372" spans="1:17" ht="15.75">
      <c r="A372" s="356"/>
      <c r="B372" s="357"/>
      <c r="C372" s="358"/>
      <c r="D372" s="146"/>
      <c r="E372" s="358"/>
      <c r="F372" s="359"/>
      <c r="G372" s="359"/>
      <c r="H372" s="149"/>
      <c r="J372" s="111">
        <f t="shared" si="52"/>
        <v>8</v>
      </c>
      <c r="K372" s="23" t="s">
        <v>128</v>
      </c>
      <c r="L372" s="23"/>
      <c r="M372" s="23"/>
      <c r="N372" s="43"/>
      <c r="O372" s="23"/>
      <c r="P372" s="188">
        <v>8796000</v>
      </c>
      <c r="Q372" s="188"/>
    </row>
    <row r="373" spans="1:17" ht="15.75">
      <c r="A373" s="356"/>
      <c r="B373" s="357"/>
      <c r="C373" s="358"/>
      <c r="D373" s="146"/>
      <c r="E373" s="358"/>
      <c r="F373" s="359"/>
      <c r="G373" s="359"/>
      <c r="H373" s="149"/>
      <c r="J373" s="111">
        <f t="shared" si="52"/>
        <v>9</v>
      </c>
      <c r="K373" s="23" t="s">
        <v>41</v>
      </c>
      <c r="L373" s="23"/>
      <c r="M373" s="23"/>
      <c r="N373" s="43"/>
      <c r="O373" s="347"/>
      <c r="P373" s="313">
        <v>2042000</v>
      </c>
      <c r="Q373" s="313"/>
    </row>
    <row r="374" spans="1:17" ht="15.75">
      <c r="A374" s="356"/>
      <c r="B374" s="357"/>
      <c r="C374" s="358"/>
      <c r="D374" s="146"/>
      <c r="E374" s="358"/>
      <c r="F374" s="359"/>
      <c r="G374" s="359"/>
      <c r="H374" s="149"/>
      <c r="J374" s="112"/>
      <c r="K374" s="113" t="s">
        <v>129</v>
      </c>
      <c r="L374" s="100">
        <f aca="true" t="shared" si="53" ref="L374:Q374">SUM(L365:L373)</f>
        <v>62</v>
      </c>
      <c r="M374" s="101">
        <f t="shared" si="53"/>
        <v>98.48</v>
      </c>
      <c r="N374" s="102">
        <f t="shared" si="53"/>
        <v>94743</v>
      </c>
      <c r="O374" s="100">
        <f t="shared" si="53"/>
        <v>47683480</v>
      </c>
      <c r="P374" s="521">
        <f t="shared" si="53"/>
        <v>23675000</v>
      </c>
      <c r="Q374" s="521">
        <f t="shared" si="53"/>
        <v>128</v>
      </c>
    </row>
    <row r="375" spans="1:17" ht="15.75">
      <c r="A375" s="356"/>
      <c r="B375" s="357"/>
      <c r="C375" s="358"/>
      <c r="D375" s="146"/>
      <c r="E375" s="358"/>
      <c r="F375" s="359"/>
      <c r="G375" s="359"/>
      <c r="H375" s="149"/>
      <c r="J375" s="118"/>
      <c r="K375" s="119"/>
      <c r="L375" s="49"/>
      <c r="M375" s="68"/>
      <c r="N375" s="68"/>
      <c r="O375" s="50"/>
      <c r="Q375" s="120"/>
    </row>
    <row r="376" spans="1:17" ht="15.75">
      <c r="A376" s="118"/>
      <c r="B376" s="119"/>
      <c r="C376" s="49"/>
      <c r="D376" s="68"/>
      <c r="E376" s="68"/>
      <c r="F376" s="50"/>
      <c r="G376" s="50"/>
      <c r="H376" s="120"/>
      <c r="J376" s="755"/>
      <c r="K376" s="756"/>
      <c r="L376" s="757"/>
      <c r="M376" s="758" t="s">
        <v>89</v>
      </c>
      <c r="N376" s="759"/>
      <c r="O376" s="760"/>
      <c r="P376" s="760"/>
      <c r="Q376" s="761"/>
    </row>
    <row r="377" spans="1:17" ht="15.75">
      <c r="A377" s="95"/>
      <c r="B377" s="39"/>
      <c r="C377" s="40"/>
      <c r="D377" s="135" t="s">
        <v>89</v>
      </c>
      <c r="E377" s="97"/>
      <c r="F377" s="41"/>
      <c r="G377" s="41"/>
      <c r="H377" s="98"/>
      <c r="J377" s="762" t="s">
        <v>121</v>
      </c>
      <c r="K377" s="763" t="s">
        <v>5</v>
      </c>
      <c r="L377" s="763" t="s">
        <v>6</v>
      </c>
      <c r="M377" s="764" t="s">
        <v>7</v>
      </c>
      <c r="N377" s="763" t="s">
        <v>8</v>
      </c>
      <c r="O377" s="102" t="s">
        <v>9</v>
      </c>
      <c r="P377" s="102" t="s">
        <v>10</v>
      </c>
      <c r="Q377" s="762" t="s">
        <v>11</v>
      </c>
    </row>
    <row r="378" spans="1:17" ht="15.75">
      <c r="A378" s="99" t="s">
        <v>121</v>
      </c>
      <c r="B378" s="100" t="s">
        <v>5</v>
      </c>
      <c r="C378" s="100" t="s">
        <v>6</v>
      </c>
      <c r="D378" s="101" t="s">
        <v>7</v>
      </c>
      <c r="E378" s="100" t="s">
        <v>8</v>
      </c>
      <c r="F378" s="102" t="s">
        <v>9</v>
      </c>
      <c r="G378" s="102" t="s">
        <v>10</v>
      </c>
      <c r="H378" s="99" t="s">
        <v>11</v>
      </c>
      <c r="J378" s="766"/>
      <c r="K378" s="767"/>
      <c r="L378" s="768"/>
      <c r="M378" s="769" t="s">
        <v>12</v>
      </c>
      <c r="N378" s="769" t="s">
        <v>13</v>
      </c>
      <c r="O378" s="127" t="s">
        <v>391</v>
      </c>
      <c r="P378" s="109" t="s">
        <v>391</v>
      </c>
      <c r="Q378" s="770" t="s">
        <v>15</v>
      </c>
    </row>
    <row r="379" spans="1:17" ht="15.75">
      <c r="A379" s="103"/>
      <c r="B379" s="104"/>
      <c r="C379" s="105"/>
      <c r="D379" s="106" t="s">
        <v>12</v>
      </c>
      <c r="E379" s="106" t="s">
        <v>13</v>
      </c>
      <c r="F379" s="109" t="s">
        <v>14</v>
      </c>
      <c r="G379" s="109" t="s">
        <v>14</v>
      </c>
      <c r="H379" s="108" t="s">
        <v>15</v>
      </c>
      <c r="J379" s="771">
        <v>1</v>
      </c>
      <c r="K379" s="772" t="s">
        <v>124</v>
      </c>
      <c r="L379" s="772">
        <v>598</v>
      </c>
      <c r="M379" s="773">
        <v>842.8091</v>
      </c>
      <c r="N379" s="774">
        <v>6046918</v>
      </c>
      <c r="O379" s="772">
        <v>6953955907</v>
      </c>
      <c r="P379" s="775">
        <v>1179149000</v>
      </c>
      <c r="Q379" s="775">
        <v>5980</v>
      </c>
    </row>
    <row r="380" spans="1:17" s="173" customFormat="1" ht="15">
      <c r="A380" s="110">
        <v>1</v>
      </c>
      <c r="B380" s="23" t="s">
        <v>124</v>
      </c>
      <c r="C380" s="23">
        <v>584</v>
      </c>
      <c r="D380" s="42">
        <v>716.113</v>
      </c>
      <c r="E380" s="43">
        <v>4190623</v>
      </c>
      <c r="F380" s="23">
        <v>4400154186</v>
      </c>
      <c r="G380" s="22">
        <v>733358995</v>
      </c>
      <c r="H380" s="22">
        <v>25738</v>
      </c>
      <c r="I380"/>
      <c r="J380" s="776">
        <f>+J379+1</f>
        <v>2</v>
      </c>
      <c r="K380" s="772" t="s">
        <v>125</v>
      </c>
      <c r="L380" s="772">
        <v>27</v>
      </c>
      <c r="M380" s="773">
        <v>27</v>
      </c>
      <c r="N380" s="774">
        <v>37765</v>
      </c>
      <c r="O380" s="772">
        <v>2832375</v>
      </c>
      <c r="P380" s="775">
        <v>642000</v>
      </c>
      <c r="Q380" s="775">
        <v>135</v>
      </c>
    </row>
    <row r="381" spans="1:17" ht="15">
      <c r="A381" s="111">
        <f>+A380+1</f>
        <v>2</v>
      </c>
      <c r="B381" s="23" t="s">
        <v>125</v>
      </c>
      <c r="C381" s="23">
        <v>10</v>
      </c>
      <c r="D381" s="42">
        <v>10</v>
      </c>
      <c r="E381" s="43">
        <v>77465</v>
      </c>
      <c r="F381" s="23">
        <v>4492970</v>
      </c>
      <c r="G381" s="22">
        <v>128717</v>
      </c>
      <c r="H381" s="22">
        <v>1050</v>
      </c>
      <c r="J381" s="777">
        <v>3</v>
      </c>
      <c r="K381" s="772" t="s">
        <v>128</v>
      </c>
      <c r="L381" s="778"/>
      <c r="M381" s="779"/>
      <c r="N381" s="780"/>
      <c r="O381" s="778"/>
      <c r="P381" s="781">
        <v>5052000</v>
      </c>
      <c r="Q381" s="781"/>
    </row>
    <row r="382" spans="1:17" ht="15">
      <c r="A382" s="171">
        <v>3</v>
      </c>
      <c r="B382" s="23" t="s">
        <v>128</v>
      </c>
      <c r="C382" s="185"/>
      <c r="D382" s="186"/>
      <c r="E382" s="187"/>
      <c r="F382" s="185"/>
      <c r="G382" s="188">
        <f>554166-244000</f>
        <v>310166</v>
      </c>
      <c r="H382" s="188"/>
      <c r="J382" s="777">
        <v>4</v>
      </c>
      <c r="K382" s="772" t="s">
        <v>41</v>
      </c>
      <c r="L382" s="778"/>
      <c r="M382" s="779"/>
      <c r="N382" s="780"/>
      <c r="O382" s="778"/>
      <c r="P382" s="781">
        <v>35724000</v>
      </c>
      <c r="Q382" s="781"/>
    </row>
    <row r="383" spans="1:17" ht="18.75" customHeight="1">
      <c r="A383" s="171">
        <v>4</v>
      </c>
      <c r="B383" s="23" t="s">
        <v>41</v>
      </c>
      <c r="C383" s="185"/>
      <c r="D383" s="186"/>
      <c r="E383" s="187"/>
      <c r="F383" s="185"/>
      <c r="G383" s="188">
        <v>3403854</v>
      </c>
      <c r="H383" s="188"/>
      <c r="J383" s="782"/>
      <c r="K383" s="783" t="s">
        <v>129</v>
      </c>
      <c r="L383" s="763">
        <f>SUM(L379:L380)</f>
        <v>625</v>
      </c>
      <c r="M383" s="764">
        <f>SUM(M379:M380)</f>
        <v>869.8091</v>
      </c>
      <c r="N383" s="765">
        <f>SUM(N379:N380)</f>
        <v>6084683</v>
      </c>
      <c r="O383" s="763">
        <f>SUM(O379:O380)</f>
        <v>6956788282</v>
      </c>
      <c r="P383" s="763">
        <f>SUM(P379:P382)</f>
        <v>1220567000</v>
      </c>
      <c r="Q383" s="763">
        <f>SUM(Q379:Q380)</f>
        <v>6115</v>
      </c>
    </row>
    <row r="384" spans="1:17" ht="15.75">
      <c r="A384" s="124"/>
      <c r="B384" s="158" t="s">
        <v>129</v>
      </c>
      <c r="C384" s="159">
        <f aca="true" t="shared" si="54" ref="C384:H384">SUM(C380:C381)</f>
        <v>594</v>
      </c>
      <c r="D384" s="160">
        <f t="shared" si="54"/>
        <v>726.113</v>
      </c>
      <c r="E384" s="159">
        <f t="shared" si="54"/>
        <v>4268088</v>
      </c>
      <c r="F384" s="161">
        <f t="shared" si="54"/>
        <v>4404647156</v>
      </c>
      <c r="G384" s="161">
        <f>SUM(G380:G383)</f>
        <v>737201732</v>
      </c>
      <c r="H384" s="128">
        <f t="shared" si="54"/>
        <v>26788</v>
      </c>
      <c r="J384" s="784"/>
      <c r="K384" s="785"/>
      <c r="L384" s="786"/>
      <c r="M384" s="787"/>
      <c r="N384" s="787"/>
      <c r="O384" s="788"/>
      <c r="P384" s="788"/>
      <c r="Q384" s="789"/>
    </row>
    <row r="385" spans="1:17" ht="15.75">
      <c r="A385" s="152"/>
      <c r="B385" s="153"/>
      <c r="C385" s="154"/>
      <c r="D385" s="155"/>
      <c r="E385" s="155"/>
      <c r="F385" s="156"/>
      <c r="G385" s="156"/>
      <c r="H385" s="157"/>
      <c r="J385" s="755"/>
      <c r="K385" s="756"/>
      <c r="L385" s="757"/>
      <c r="M385" s="758" t="s">
        <v>90</v>
      </c>
      <c r="N385" s="759"/>
      <c r="O385" s="760"/>
      <c r="P385" s="760"/>
      <c r="Q385" s="761"/>
    </row>
    <row r="386" spans="1:17" ht="15.75">
      <c r="A386" s="95"/>
      <c r="B386" s="39"/>
      <c r="C386" s="40"/>
      <c r="D386" s="135" t="s">
        <v>90</v>
      </c>
      <c r="E386" s="97"/>
      <c r="F386" s="41"/>
      <c r="G386" s="41"/>
      <c r="H386" s="98"/>
      <c r="J386" s="762" t="s">
        <v>121</v>
      </c>
      <c r="K386" s="763" t="s">
        <v>5</v>
      </c>
      <c r="L386" s="763" t="s">
        <v>6</v>
      </c>
      <c r="M386" s="764" t="s">
        <v>7</v>
      </c>
      <c r="N386" s="763" t="s">
        <v>8</v>
      </c>
      <c r="O386" s="102" t="s">
        <v>9</v>
      </c>
      <c r="P386" s="102" t="s">
        <v>10</v>
      </c>
      <c r="Q386" s="762" t="s">
        <v>11</v>
      </c>
    </row>
    <row r="387" spans="1:17" ht="15.75">
      <c r="A387" s="99" t="s">
        <v>121</v>
      </c>
      <c r="B387" s="100" t="s">
        <v>5</v>
      </c>
      <c r="C387" s="100" t="s">
        <v>6</v>
      </c>
      <c r="D387" s="101" t="s">
        <v>7</v>
      </c>
      <c r="E387" s="100" t="s">
        <v>8</v>
      </c>
      <c r="F387" s="102" t="s">
        <v>9</v>
      </c>
      <c r="G387" s="102" t="s">
        <v>10</v>
      </c>
      <c r="H387" s="99" t="s">
        <v>11</v>
      </c>
      <c r="J387" s="766"/>
      <c r="K387" s="767"/>
      <c r="L387" s="768"/>
      <c r="M387" s="769" t="s">
        <v>12</v>
      </c>
      <c r="N387" s="769" t="s">
        <v>13</v>
      </c>
      <c r="O387" s="127" t="s">
        <v>391</v>
      </c>
      <c r="P387" s="109" t="s">
        <v>391</v>
      </c>
      <c r="Q387" s="770" t="s">
        <v>15</v>
      </c>
    </row>
    <row r="388" spans="1:17" ht="15.75">
      <c r="A388" s="103"/>
      <c r="B388" s="104"/>
      <c r="C388" s="105"/>
      <c r="D388" s="106" t="s">
        <v>12</v>
      </c>
      <c r="E388" s="106" t="s">
        <v>13</v>
      </c>
      <c r="F388" s="109" t="s">
        <v>14</v>
      </c>
      <c r="G388" s="109" t="s">
        <v>14</v>
      </c>
      <c r="H388" s="108" t="s">
        <v>15</v>
      </c>
      <c r="J388" s="771">
        <v>1</v>
      </c>
      <c r="K388" s="772" t="s">
        <v>124</v>
      </c>
      <c r="L388" s="772">
        <v>306</v>
      </c>
      <c r="M388" s="773">
        <v>876.36</v>
      </c>
      <c r="N388" s="774">
        <v>763309</v>
      </c>
      <c r="O388" s="772">
        <v>1297625300</v>
      </c>
      <c r="P388" s="775">
        <v>145867000</v>
      </c>
      <c r="Q388" s="775">
        <v>5368</v>
      </c>
    </row>
    <row r="389" spans="1:17" s="173" customFormat="1" ht="15">
      <c r="A389" s="110">
        <v>1</v>
      </c>
      <c r="B389" s="23" t="s">
        <v>170</v>
      </c>
      <c r="C389" s="23">
        <v>46</v>
      </c>
      <c r="D389" s="42">
        <v>32.0456</v>
      </c>
      <c r="E389" s="43">
        <v>188816</v>
      </c>
      <c r="F389" s="23">
        <v>11329000</v>
      </c>
      <c r="G389" s="22">
        <v>11329000</v>
      </c>
      <c r="H389" s="22">
        <v>437</v>
      </c>
      <c r="I389"/>
      <c r="J389" s="776">
        <f>+J388+1</f>
        <v>2</v>
      </c>
      <c r="K389" s="772" t="s">
        <v>170</v>
      </c>
      <c r="L389" s="772">
        <v>37</v>
      </c>
      <c r="M389" s="773">
        <v>24.304</v>
      </c>
      <c r="N389" s="790">
        <v>904246</v>
      </c>
      <c r="O389" s="790">
        <v>271273800</v>
      </c>
      <c r="P389" s="775">
        <v>4192000</v>
      </c>
      <c r="Q389" s="775">
        <v>280</v>
      </c>
    </row>
    <row r="390" spans="1:17" s="173" customFormat="1" ht="15">
      <c r="A390" s="111">
        <f>+A389+1</f>
        <v>2</v>
      </c>
      <c r="B390" s="23" t="s">
        <v>122</v>
      </c>
      <c r="C390" s="23">
        <v>2</v>
      </c>
      <c r="D390" s="42">
        <v>5.13</v>
      </c>
      <c r="E390" s="43">
        <v>5.13</v>
      </c>
      <c r="F390" s="22">
        <f>E390*350</f>
        <v>1795.5</v>
      </c>
      <c r="G390" s="22">
        <v>85000</v>
      </c>
      <c r="H390" s="22"/>
      <c r="I390"/>
      <c r="J390" s="776">
        <f>+J389+1</f>
        <v>3</v>
      </c>
      <c r="K390" s="772" t="s">
        <v>125</v>
      </c>
      <c r="L390" s="772">
        <v>44</v>
      </c>
      <c r="M390" s="773">
        <v>39.942</v>
      </c>
      <c r="N390" s="774">
        <v>734939</v>
      </c>
      <c r="O390" s="772">
        <v>36746950</v>
      </c>
      <c r="P390" s="775">
        <v>10093000</v>
      </c>
      <c r="Q390" s="775">
        <v>700</v>
      </c>
    </row>
    <row r="391" spans="1:17" s="173" customFormat="1" ht="15">
      <c r="A391" s="111">
        <f>+A390+1</f>
        <v>3</v>
      </c>
      <c r="B391" s="23" t="s">
        <v>123</v>
      </c>
      <c r="C391" s="23"/>
      <c r="D391" s="42"/>
      <c r="E391" s="43"/>
      <c r="F391" s="23"/>
      <c r="G391" s="22">
        <v>1430000</v>
      </c>
      <c r="H391" s="22"/>
      <c r="I391"/>
      <c r="J391" s="776">
        <f>+J390+1</f>
        <v>4</v>
      </c>
      <c r="K391" s="772" t="s">
        <v>122</v>
      </c>
      <c r="L391" s="772">
        <v>4</v>
      </c>
      <c r="M391" s="773">
        <v>8.117</v>
      </c>
      <c r="N391" s="774">
        <v>2000</v>
      </c>
      <c r="O391" s="772">
        <v>3800000</v>
      </c>
      <c r="P391" s="775">
        <v>209000</v>
      </c>
      <c r="Q391" s="775">
        <v>45</v>
      </c>
    </row>
    <row r="392" spans="1:17" s="173" customFormat="1" ht="15">
      <c r="A392" s="111">
        <f>+A391+1</f>
        <v>4</v>
      </c>
      <c r="B392" s="23" t="s">
        <v>124</v>
      </c>
      <c r="C392" s="23">
        <v>353</v>
      </c>
      <c r="D392" s="42">
        <v>417.0198</v>
      </c>
      <c r="E392" s="43">
        <v>499606</v>
      </c>
      <c r="F392" s="23">
        <v>87432000</v>
      </c>
      <c r="G392" s="22">
        <v>87432000</v>
      </c>
      <c r="H392" s="22">
        <v>3982</v>
      </c>
      <c r="I392"/>
      <c r="J392" s="776">
        <f>+J391+1</f>
        <v>5</v>
      </c>
      <c r="K392" s="772" t="s">
        <v>123</v>
      </c>
      <c r="L392" s="772"/>
      <c r="M392" s="773"/>
      <c r="N392" s="774">
        <v>218700</v>
      </c>
      <c r="O392" s="792">
        <v>21870000</v>
      </c>
      <c r="P392" s="775">
        <v>2187000</v>
      </c>
      <c r="Q392" s="775">
        <v>20</v>
      </c>
    </row>
    <row r="393" spans="1:17" s="173" customFormat="1" ht="15">
      <c r="A393" s="111"/>
      <c r="B393" s="23"/>
      <c r="C393" s="23"/>
      <c r="D393" s="42"/>
      <c r="E393" s="43"/>
      <c r="F393" s="23"/>
      <c r="G393" s="22"/>
      <c r="H393" s="22"/>
      <c r="I393"/>
      <c r="J393" s="777">
        <v>6</v>
      </c>
      <c r="K393" s="772" t="s">
        <v>135</v>
      </c>
      <c r="L393" s="778"/>
      <c r="M393" s="779"/>
      <c r="N393" s="780"/>
      <c r="O393" s="793"/>
      <c r="P393" s="781">
        <v>31000</v>
      </c>
      <c r="Q393" s="781"/>
    </row>
    <row r="394" spans="1:17" s="173" customFormat="1" ht="15">
      <c r="A394" s="111">
        <f>+A392+1</f>
        <v>5</v>
      </c>
      <c r="B394" s="23" t="s">
        <v>125</v>
      </c>
      <c r="C394" s="23">
        <v>36</v>
      </c>
      <c r="D394" s="42">
        <v>29.9456</v>
      </c>
      <c r="E394" s="43">
        <v>978600</v>
      </c>
      <c r="F394" s="23">
        <v>97860000</v>
      </c>
      <c r="G394" s="22">
        <v>2254000</v>
      </c>
      <c r="H394" s="22">
        <v>180</v>
      </c>
      <c r="I394"/>
      <c r="J394" s="777">
        <v>7</v>
      </c>
      <c r="K394" s="772" t="s">
        <v>128</v>
      </c>
      <c r="L394" s="778"/>
      <c r="M394" s="779"/>
      <c r="N394" s="780"/>
      <c r="O394" s="778"/>
      <c r="P394" s="781">
        <v>5498000</v>
      </c>
      <c r="Q394" s="781"/>
    </row>
    <row r="395" spans="1:17" s="173" customFormat="1" ht="15">
      <c r="A395" s="171">
        <v>6</v>
      </c>
      <c r="B395" s="23" t="s">
        <v>41</v>
      </c>
      <c r="C395" s="185"/>
      <c r="D395" s="186"/>
      <c r="E395" s="187"/>
      <c r="F395" s="185"/>
      <c r="G395" s="188">
        <v>5992000</v>
      </c>
      <c r="H395" s="188"/>
      <c r="I395"/>
      <c r="J395" s="777">
        <v>8</v>
      </c>
      <c r="K395" s="772" t="s">
        <v>41</v>
      </c>
      <c r="L395" s="778"/>
      <c r="M395" s="779"/>
      <c r="N395" s="780"/>
      <c r="O395" s="778"/>
      <c r="P395" s="781">
        <v>10458000</v>
      </c>
      <c r="Q395" s="781"/>
    </row>
    <row r="396" spans="1:17" s="173" customFormat="1" ht="15.75">
      <c r="A396" s="171">
        <v>7</v>
      </c>
      <c r="B396" s="23" t="s">
        <v>128</v>
      </c>
      <c r="C396" s="185"/>
      <c r="D396" s="186"/>
      <c r="E396" s="187"/>
      <c r="F396" s="185"/>
      <c r="G396" s="188">
        <v>6163000</v>
      </c>
      <c r="H396" s="188"/>
      <c r="I396"/>
      <c r="J396" s="782"/>
      <c r="K396" s="783" t="s">
        <v>129</v>
      </c>
      <c r="L396" s="763">
        <f aca="true" t="shared" si="55" ref="L396:Q396">SUM(L388:L395)</f>
        <v>391</v>
      </c>
      <c r="M396" s="764">
        <f t="shared" si="55"/>
        <v>948.723</v>
      </c>
      <c r="N396" s="765">
        <f t="shared" si="55"/>
        <v>2623194</v>
      </c>
      <c r="O396" s="763">
        <f t="shared" si="55"/>
        <v>1631316050</v>
      </c>
      <c r="P396" s="765">
        <f t="shared" si="55"/>
        <v>178535000</v>
      </c>
      <c r="Q396" s="765">
        <f t="shared" si="55"/>
        <v>6413</v>
      </c>
    </row>
    <row r="397" spans="1:17" ht="15.75">
      <c r="A397" s="124"/>
      <c r="B397" s="158" t="s">
        <v>129</v>
      </c>
      <c r="C397" s="159">
        <f aca="true" t="shared" si="56" ref="C397:H397">SUM(C389:C394)</f>
        <v>437</v>
      </c>
      <c r="D397" s="160">
        <f t="shared" si="56"/>
        <v>484.14099999999996</v>
      </c>
      <c r="E397" s="159">
        <f t="shared" si="56"/>
        <v>1667027.13</v>
      </c>
      <c r="F397" s="161">
        <f t="shared" si="56"/>
        <v>196622795.5</v>
      </c>
      <c r="G397" s="161">
        <f>SUM(G389:G396)</f>
        <v>114685000</v>
      </c>
      <c r="H397" s="128">
        <f t="shared" si="56"/>
        <v>4599</v>
      </c>
      <c r="J397" s="784"/>
      <c r="K397" s="785"/>
      <c r="L397" s="786"/>
      <c r="M397" s="787"/>
      <c r="N397" s="787"/>
      <c r="O397" s="788"/>
      <c r="P397" s="794"/>
      <c r="Q397" s="789"/>
    </row>
    <row r="398" spans="1:17" ht="15.75">
      <c r="A398" s="152"/>
      <c r="B398" s="153"/>
      <c r="C398" s="154"/>
      <c r="D398" s="155"/>
      <c r="E398" s="155"/>
      <c r="F398" s="156"/>
      <c r="G398" s="156"/>
      <c r="H398" s="157"/>
      <c r="J398" s="755"/>
      <c r="K398" s="756"/>
      <c r="L398" s="757"/>
      <c r="M398" s="758" t="s">
        <v>93</v>
      </c>
      <c r="N398" s="759"/>
      <c r="O398" s="760"/>
      <c r="P398" s="760"/>
      <c r="Q398" s="761"/>
    </row>
    <row r="399" spans="1:17" ht="15.75">
      <c r="A399" s="95"/>
      <c r="B399" s="39"/>
      <c r="C399" s="40"/>
      <c r="D399" s="135" t="s">
        <v>93</v>
      </c>
      <c r="E399" s="97"/>
      <c r="F399" s="41"/>
      <c r="G399" s="41"/>
      <c r="H399" s="98"/>
      <c r="J399" s="762" t="s">
        <v>121</v>
      </c>
      <c r="K399" s="763" t="s">
        <v>5</v>
      </c>
      <c r="L399" s="763" t="s">
        <v>6</v>
      </c>
      <c r="M399" s="764" t="s">
        <v>7</v>
      </c>
      <c r="N399" s="763" t="s">
        <v>8</v>
      </c>
      <c r="O399" s="102" t="s">
        <v>9</v>
      </c>
      <c r="P399" s="102" t="s">
        <v>10</v>
      </c>
      <c r="Q399" s="762" t="s">
        <v>11</v>
      </c>
    </row>
    <row r="400" spans="1:17" ht="15.75">
      <c r="A400" s="99" t="s">
        <v>121</v>
      </c>
      <c r="B400" s="100" t="s">
        <v>5</v>
      </c>
      <c r="C400" s="100" t="s">
        <v>6</v>
      </c>
      <c r="D400" s="101" t="s">
        <v>7</v>
      </c>
      <c r="E400" s="100" t="s">
        <v>8</v>
      </c>
      <c r="F400" s="102" t="s">
        <v>9</v>
      </c>
      <c r="G400" s="102" t="s">
        <v>10</v>
      </c>
      <c r="H400" s="99" t="s">
        <v>11</v>
      </c>
      <c r="J400" s="766"/>
      <c r="K400" s="767"/>
      <c r="L400" s="768"/>
      <c r="M400" s="769" t="s">
        <v>12</v>
      </c>
      <c r="N400" s="769" t="s">
        <v>13</v>
      </c>
      <c r="O400" s="127" t="s">
        <v>391</v>
      </c>
      <c r="P400" s="109" t="s">
        <v>391</v>
      </c>
      <c r="Q400" s="770" t="s">
        <v>15</v>
      </c>
    </row>
    <row r="401" spans="1:17" ht="15.75">
      <c r="A401" s="103"/>
      <c r="B401" s="104"/>
      <c r="C401" s="105"/>
      <c r="D401" s="106" t="s">
        <v>12</v>
      </c>
      <c r="E401" s="106" t="s">
        <v>13</v>
      </c>
      <c r="F401" s="109" t="s">
        <v>14</v>
      </c>
      <c r="G401" s="109" t="s">
        <v>14</v>
      </c>
      <c r="H401" s="108" t="s">
        <v>15</v>
      </c>
      <c r="J401" s="795">
        <v>1</v>
      </c>
      <c r="K401" s="778" t="s">
        <v>174</v>
      </c>
      <c r="L401" s="772">
        <v>51</v>
      </c>
      <c r="M401" s="773">
        <v>1557.69</v>
      </c>
      <c r="N401" s="774">
        <v>2699375</v>
      </c>
      <c r="O401" s="772">
        <v>4588937500</v>
      </c>
      <c r="P401" s="775">
        <v>495563000</v>
      </c>
      <c r="Q401" s="775">
        <v>3606</v>
      </c>
    </row>
    <row r="402" spans="1:17" ht="15">
      <c r="A402" s="136">
        <v>1</v>
      </c>
      <c r="B402" s="23" t="s">
        <v>174</v>
      </c>
      <c r="C402" s="23">
        <v>48</v>
      </c>
      <c r="D402" s="42">
        <v>1822.1808</v>
      </c>
      <c r="E402" s="43">
        <v>3760025</v>
      </c>
      <c r="F402" s="23">
        <v>3760025000</v>
      </c>
      <c r="G402" s="22">
        <v>306977000</v>
      </c>
      <c r="H402" s="22">
        <v>5122</v>
      </c>
      <c r="J402" s="796">
        <v>2</v>
      </c>
      <c r="K402" s="797" t="s">
        <v>140</v>
      </c>
      <c r="L402" s="798">
        <v>4</v>
      </c>
      <c r="M402" s="773">
        <v>3.44</v>
      </c>
      <c r="N402" s="774">
        <v>410</v>
      </c>
      <c r="O402" s="772">
        <v>1148000</v>
      </c>
      <c r="P402" s="775">
        <v>108000</v>
      </c>
      <c r="Q402" s="775">
        <v>8</v>
      </c>
    </row>
    <row r="403" spans="1:17" ht="15">
      <c r="A403" s="136">
        <v>2</v>
      </c>
      <c r="B403" s="23" t="s">
        <v>140</v>
      </c>
      <c r="C403" s="23">
        <v>3</v>
      </c>
      <c r="D403" s="42">
        <v>2.72</v>
      </c>
      <c r="E403" s="43">
        <v>866.97</v>
      </c>
      <c r="F403" s="23">
        <v>1300455</v>
      </c>
      <c r="G403" s="22">
        <v>73000</v>
      </c>
      <c r="H403" s="22">
        <v>17</v>
      </c>
      <c r="J403" s="796">
        <v>3</v>
      </c>
      <c r="K403" s="797" t="s">
        <v>125</v>
      </c>
      <c r="L403" s="798">
        <v>9</v>
      </c>
      <c r="M403" s="773">
        <v>9</v>
      </c>
      <c r="N403" s="774">
        <v>90650</v>
      </c>
      <c r="O403" s="772">
        <v>22662500</v>
      </c>
      <c r="P403" s="775">
        <v>2793000</v>
      </c>
      <c r="Q403" s="775">
        <v>67</v>
      </c>
    </row>
    <row r="404" spans="1:17" ht="15">
      <c r="A404" s="136">
        <v>3</v>
      </c>
      <c r="B404" s="23" t="s">
        <v>125</v>
      </c>
      <c r="C404" s="23">
        <v>7</v>
      </c>
      <c r="D404" s="42">
        <v>7</v>
      </c>
      <c r="E404" s="43">
        <v>30786</v>
      </c>
      <c r="F404" s="23">
        <v>1539300</v>
      </c>
      <c r="G404" s="22">
        <v>745000</v>
      </c>
      <c r="H404" s="22">
        <v>30</v>
      </c>
      <c r="J404" s="796">
        <v>5</v>
      </c>
      <c r="K404" s="797" t="s">
        <v>123</v>
      </c>
      <c r="L404" s="798"/>
      <c r="M404" s="773"/>
      <c r="N404" s="774">
        <v>176030</v>
      </c>
      <c r="O404" s="772">
        <v>52809000</v>
      </c>
      <c r="P404" s="775">
        <v>4768000</v>
      </c>
      <c r="Q404" s="775">
        <v>100</v>
      </c>
    </row>
    <row r="405" spans="1:17" ht="15">
      <c r="A405" s="136">
        <v>4</v>
      </c>
      <c r="B405" s="23" t="s">
        <v>123</v>
      </c>
      <c r="C405" s="23" t="s">
        <v>53</v>
      </c>
      <c r="D405" s="42" t="s">
        <v>53</v>
      </c>
      <c r="E405" s="43">
        <v>436125</v>
      </c>
      <c r="F405" s="23">
        <v>43612500</v>
      </c>
      <c r="G405" s="22">
        <v>3490000</v>
      </c>
      <c r="H405" s="22">
        <v>100</v>
      </c>
      <c r="J405" s="796">
        <v>6</v>
      </c>
      <c r="K405" s="797" t="s">
        <v>128</v>
      </c>
      <c r="L405" s="799"/>
      <c r="M405" s="779"/>
      <c r="N405" s="780"/>
      <c r="O405" s="778"/>
      <c r="P405" s="781">
        <v>4982000</v>
      </c>
      <c r="Q405" s="781"/>
    </row>
    <row r="406" spans="1:17" ht="15">
      <c r="A406" s="199">
        <v>5</v>
      </c>
      <c r="B406" s="23" t="s">
        <v>128</v>
      </c>
      <c r="C406" s="185"/>
      <c r="D406" s="186"/>
      <c r="E406" s="187"/>
      <c r="F406" s="185"/>
      <c r="G406" s="188">
        <v>4532000</v>
      </c>
      <c r="H406" s="188"/>
      <c r="J406" s="800">
        <v>7</v>
      </c>
      <c r="K406" s="797" t="s">
        <v>41</v>
      </c>
      <c r="L406" s="799"/>
      <c r="M406" s="779"/>
      <c r="N406" s="780"/>
      <c r="O406" s="778"/>
      <c r="P406" s="781">
        <v>6564000</v>
      </c>
      <c r="Q406" s="781"/>
    </row>
    <row r="407" spans="1:17" ht="15.75">
      <c r="A407" s="199">
        <v>6</v>
      </c>
      <c r="B407" s="23" t="s">
        <v>41</v>
      </c>
      <c r="C407" s="185"/>
      <c r="D407" s="186"/>
      <c r="E407" s="187"/>
      <c r="F407" s="185"/>
      <c r="G407" s="188">
        <v>7105000</v>
      </c>
      <c r="H407" s="188"/>
      <c r="J407" s="801"/>
      <c r="K407" s="802" t="s">
        <v>129</v>
      </c>
      <c r="L407" s="763">
        <f aca="true" t="shared" si="57" ref="L407:Q407">SUM(L401:L406)</f>
        <v>64</v>
      </c>
      <c r="M407" s="764">
        <f t="shared" si="57"/>
        <v>1570.13</v>
      </c>
      <c r="N407" s="765">
        <f t="shared" si="57"/>
        <v>2966465</v>
      </c>
      <c r="O407" s="763">
        <f t="shared" si="57"/>
        <v>4665557000</v>
      </c>
      <c r="P407" s="765">
        <f t="shared" si="57"/>
        <v>514778000</v>
      </c>
      <c r="Q407" s="765">
        <f t="shared" si="57"/>
        <v>3781</v>
      </c>
    </row>
    <row r="408" spans="1:17" ht="15.75">
      <c r="A408" s="124"/>
      <c r="B408" s="158" t="s">
        <v>129</v>
      </c>
      <c r="C408" s="159">
        <f aca="true" t="shared" si="58" ref="C408:H408">SUM(C402:C405)</f>
        <v>58</v>
      </c>
      <c r="D408" s="160">
        <f t="shared" si="58"/>
        <v>1831.9008000000001</v>
      </c>
      <c r="E408" s="213">
        <f t="shared" si="58"/>
        <v>4227802.970000001</v>
      </c>
      <c r="F408" s="161">
        <f t="shared" si="58"/>
        <v>3806477255</v>
      </c>
      <c r="G408" s="161">
        <f>SUM(G402:G407)</f>
        <v>322922000</v>
      </c>
      <c r="H408" s="128">
        <f t="shared" si="58"/>
        <v>5269</v>
      </c>
      <c r="J408" s="784"/>
      <c r="K408" s="785"/>
      <c r="L408" s="786"/>
      <c r="M408" s="787"/>
      <c r="N408" s="787"/>
      <c r="O408" s="788"/>
      <c r="P408" s="788"/>
      <c r="Q408" s="789"/>
    </row>
    <row r="409" spans="1:17" ht="15.75">
      <c r="A409" s="152"/>
      <c r="B409" s="153"/>
      <c r="C409" s="154"/>
      <c r="D409" s="155"/>
      <c r="E409" s="155"/>
      <c r="F409" s="156"/>
      <c r="G409" s="156"/>
      <c r="H409" s="157"/>
      <c r="J409" s="755"/>
      <c r="K409" s="756"/>
      <c r="L409" s="757"/>
      <c r="M409" s="758" t="s">
        <v>94</v>
      </c>
      <c r="N409" s="759"/>
      <c r="O409" s="760"/>
      <c r="P409" s="760"/>
      <c r="Q409" s="761"/>
    </row>
    <row r="410" spans="1:17" ht="15.75">
      <c r="A410" s="95"/>
      <c r="B410" s="39"/>
      <c r="C410" s="40"/>
      <c r="D410" s="135" t="s">
        <v>94</v>
      </c>
      <c r="E410" s="97"/>
      <c r="F410" s="41"/>
      <c r="G410" s="41"/>
      <c r="H410" s="98"/>
      <c r="J410" s="762" t="s">
        <v>121</v>
      </c>
      <c r="K410" s="763" t="s">
        <v>5</v>
      </c>
      <c r="L410" s="763" t="s">
        <v>6</v>
      </c>
      <c r="M410" s="764" t="s">
        <v>7</v>
      </c>
      <c r="N410" s="763" t="s">
        <v>8</v>
      </c>
      <c r="O410" s="102" t="s">
        <v>9</v>
      </c>
      <c r="P410" s="102" t="s">
        <v>10</v>
      </c>
      <c r="Q410" s="762" t="s">
        <v>11</v>
      </c>
    </row>
    <row r="411" spans="1:17" ht="15.75">
      <c r="A411" s="99" t="s">
        <v>121</v>
      </c>
      <c r="B411" s="100" t="s">
        <v>5</v>
      </c>
      <c r="C411" s="100" t="s">
        <v>6</v>
      </c>
      <c r="D411" s="101" t="s">
        <v>7</v>
      </c>
      <c r="E411" s="100" t="s">
        <v>8</v>
      </c>
      <c r="F411" s="102" t="s">
        <v>9</v>
      </c>
      <c r="G411" s="102" t="s">
        <v>10</v>
      </c>
      <c r="H411" s="99" t="s">
        <v>11</v>
      </c>
      <c r="J411" s="766"/>
      <c r="K411" s="767"/>
      <c r="L411" s="768"/>
      <c r="M411" s="769" t="s">
        <v>12</v>
      </c>
      <c r="N411" s="769" t="s">
        <v>13</v>
      </c>
      <c r="O411" s="127" t="s">
        <v>391</v>
      </c>
      <c r="P411" s="109" t="s">
        <v>391</v>
      </c>
      <c r="Q411" s="770" t="s">
        <v>15</v>
      </c>
    </row>
    <row r="412" spans="1:17" ht="15.75">
      <c r="A412" s="103"/>
      <c r="B412" s="104"/>
      <c r="C412" s="105"/>
      <c r="D412" s="106" t="s">
        <v>12</v>
      </c>
      <c r="E412" s="106" t="s">
        <v>13</v>
      </c>
      <c r="F412" s="109" t="s">
        <v>14</v>
      </c>
      <c r="G412" s="109" t="s">
        <v>14</v>
      </c>
      <c r="H412" s="108" t="s">
        <v>15</v>
      </c>
      <c r="J412" s="771">
        <v>1</v>
      </c>
      <c r="K412" s="772" t="s">
        <v>162</v>
      </c>
      <c r="L412" s="772">
        <v>170</v>
      </c>
      <c r="M412" s="772">
        <v>188.04</v>
      </c>
      <c r="N412" s="774">
        <v>1001651</v>
      </c>
      <c r="O412" s="772">
        <v>1502476153</v>
      </c>
      <c r="P412" s="775">
        <v>195321900</v>
      </c>
      <c r="Q412" s="775">
        <v>1200</v>
      </c>
    </row>
    <row r="413" spans="1:17" ht="15">
      <c r="A413" s="110">
        <v>1</v>
      </c>
      <c r="B413" s="23" t="s">
        <v>170</v>
      </c>
      <c r="C413" s="23">
        <v>2</v>
      </c>
      <c r="D413" s="42">
        <v>2</v>
      </c>
      <c r="E413" s="43">
        <v>1233</v>
      </c>
      <c r="F413" s="23">
        <v>493200</v>
      </c>
      <c r="G413" s="22">
        <v>61672</v>
      </c>
      <c r="H413" s="22">
        <v>10</v>
      </c>
      <c r="J413" s="771">
        <v>2</v>
      </c>
      <c r="K413" s="772" t="s">
        <v>125</v>
      </c>
      <c r="L413" s="772">
        <v>6</v>
      </c>
      <c r="M413" s="772">
        <v>6</v>
      </c>
      <c r="N413" s="774">
        <v>6551</v>
      </c>
      <c r="O413" s="772">
        <v>491360</v>
      </c>
      <c r="P413" s="775">
        <v>111375</v>
      </c>
      <c r="Q413" s="775">
        <v>30</v>
      </c>
    </row>
    <row r="414" spans="1:17" ht="15">
      <c r="A414" s="110">
        <v>2</v>
      </c>
      <c r="B414" s="23" t="s">
        <v>125</v>
      </c>
      <c r="C414" s="23">
        <v>6</v>
      </c>
      <c r="D414" s="42">
        <v>6</v>
      </c>
      <c r="E414" s="43">
        <v>7935</v>
      </c>
      <c r="F414" s="23">
        <v>555450</v>
      </c>
      <c r="G414" s="22">
        <v>79356</v>
      </c>
      <c r="H414" s="22">
        <v>30</v>
      </c>
      <c r="J414" s="771">
        <v>3</v>
      </c>
      <c r="K414" s="772" t="s">
        <v>175</v>
      </c>
      <c r="L414" s="772"/>
      <c r="M414" s="772"/>
      <c r="N414" s="774">
        <v>252422</v>
      </c>
      <c r="O414" s="772">
        <v>12621103</v>
      </c>
      <c r="P414" s="775">
        <v>4291175</v>
      </c>
      <c r="Q414" s="775"/>
    </row>
    <row r="415" spans="1:17" ht="15">
      <c r="A415" s="110">
        <v>3</v>
      </c>
      <c r="B415" s="23" t="s">
        <v>175</v>
      </c>
      <c r="C415" s="23"/>
      <c r="D415" s="42"/>
      <c r="E415" s="43">
        <v>135019</v>
      </c>
      <c r="F415" s="23">
        <v>6750950</v>
      </c>
      <c r="G415" s="22">
        <v>1350195</v>
      </c>
      <c r="H415" s="22"/>
      <c r="J415" s="776">
        <v>4</v>
      </c>
      <c r="K415" s="797" t="s">
        <v>128</v>
      </c>
      <c r="L415" s="772"/>
      <c r="M415" s="772"/>
      <c r="N415" s="774"/>
      <c r="O415" s="772"/>
      <c r="P415" s="775"/>
      <c r="Q415" s="775"/>
    </row>
    <row r="416" spans="1:17" ht="15">
      <c r="A416" s="111">
        <v>4</v>
      </c>
      <c r="B416" s="23" t="s">
        <v>162</v>
      </c>
      <c r="C416" s="23">
        <v>176</v>
      </c>
      <c r="D416" s="42">
        <v>192.97</v>
      </c>
      <c r="E416" s="43">
        <v>884442</v>
      </c>
      <c r="F416" s="23">
        <v>1326663000</v>
      </c>
      <c r="G416" s="22">
        <v>154561468</v>
      </c>
      <c r="H416" s="22">
        <v>1300</v>
      </c>
      <c r="J416" s="776"/>
      <c r="K416" s="797" t="s">
        <v>41</v>
      </c>
      <c r="L416" s="772"/>
      <c r="M416" s="773"/>
      <c r="N416" s="774"/>
      <c r="O416" s="772"/>
      <c r="P416" s="775">
        <v>330575</v>
      </c>
      <c r="Q416" s="775"/>
    </row>
    <row r="417" spans="1:17" ht="15.75">
      <c r="A417" s="111"/>
      <c r="B417" s="23"/>
      <c r="C417" s="23"/>
      <c r="D417" s="42"/>
      <c r="E417" s="43"/>
      <c r="F417" s="23"/>
      <c r="G417" s="22"/>
      <c r="H417" s="22"/>
      <c r="J417" s="803"/>
      <c r="K417" s="804" t="s">
        <v>129</v>
      </c>
      <c r="L417" s="763">
        <f aca="true" t="shared" si="59" ref="L417:Q417">SUM(L412:L415)</f>
        <v>176</v>
      </c>
      <c r="M417" s="764">
        <f t="shared" si="59"/>
        <v>194.04</v>
      </c>
      <c r="N417" s="765">
        <f t="shared" si="59"/>
        <v>1260624</v>
      </c>
      <c r="O417" s="763">
        <f t="shared" si="59"/>
        <v>1515588616</v>
      </c>
      <c r="P417" s="763">
        <f>SUM(P412:P416)</f>
        <v>200055025</v>
      </c>
      <c r="Q417" s="763">
        <f t="shared" si="59"/>
        <v>1230</v>
      </c>
    </row>
    <row r="418" spans="1:17" ht="15.75">
      <c r="A418" s="112"/>
      <c r="B418" s="113" t="s">
        <v>129</v>
      </c>
      <c r="C418" s="114">
        <f aca="true" t="shared" si="60" ref="C418:H418">SUM(C413:C416)</f>
        <v>184</v>
      </c>
      <c r="D418" s="115">
        <f t="shared" si="60"/>
        <v>200.97</v>
      </c>
      <c r="E418" s="114">
        <f t="shared" si="60"/>
        <v>1028629</v>
      </c>
      <c r="F418" s="116">
        <f t="shared" si="60"/>
        <v>1334462600</v>
      </c>
      <c r="G418" s="116">
        <f t="shared" si="60"/>
        <v>156052691</v>
      </c>
      <c r="H418" s="117">
        <f t="shared" si="60"/>
        <v>1340</v>
      </c>
      <c r="J418" s="805"/>
      <c r="K418" s="806"/>
      <c r="L418" s="807"/>
      <c r="M418" s="808"/>
      <c r="N418" s="808"/>
      <c r="O418" s="809"/>
      <c r="P418" s="809"/>
      <c r="Q418" s="810"/>
    </row>
    <row r="419" spans="1:17" ht="15.75">
      <c r="A419" s="118"/>
      <c r="B419" s="121"/>
      <c r="C419" s="12"/>
      <c r="D419" s="123"/>
      <c r="E419" s="123"/>
      <c r="F419" s="14"/>
      <c r="G419" s="14"/>
      <c r="H419" s="120"/>
      <c r="J419" s="755"/>
      <c r="K419" s="756"/>
      <c r="L419" s="757"/>
      <c r="M419" s="758" t="s">
        <v>95</v>
      </c>
      <c r="N419" s="759"/>
      <c r="O419" s="760"/>
      <c r="P419" s="760"/>
      <c r="Q419" s="811"/>
    </row>
    <row r="420" spans="1:17" ht="15.75">
      <c r="A420" s="95"/>
      <c r="B420" s="39"/>
      <c r="C420" s="40"/>
      <c r="D420" s="135" t="s">
        <v>95</v>
      </c>
      <c r="E420" s="97"/>
      <c r="F420" s="41"/>
      <c r="G420" s="41"/>
      <c r="H420" s="214"/>
      <c r="J420" s="762" t="s">
        <v>121</v>
      </c>
      <c r="K420" s="763" t="s">
        <v>5</v>
      </c>
      <c r="L420" s="763" t="s">
        <v>6</v>
      </c>
      <c r="M420" s="764" t="s">
        <v>7</v>
      </c>
      <c r="N420" s="763" t="s">
        <v>8</v>
      </c>
      <c r="O420" s="102" t="s">
        <v>9</v>
      </c>
      <c r="P420" s="102" t="s">
        <v>10</v>
      </c>
      <c r="Q420" s="762" t="s">
        <v>11</v>
      </c>
    </row>
    <row r="421" spans="1:17" ht="15.75">
      <c r="A421" s="99" t="s">
        <v>121</v>
      </c>
      <c r="B421" s="100" t="s">
        <v>5</v>
      </c>
      <c r="C421" s="100" t="s">
        <v>6</v>
      </c>
      <c r="D421" s="101" t="s">
        <v>7</v>
      </c>
      <c r="E421" s="100" t="s">
        <v>8</v>
      </c>
      <c r="F421" s="102" t="s">
        <v>9</v>
      </c>
      <c r="G421" s="102" t="s">
        <v>10</v>
      </c>
      <c r="H421" s="99" t="s">
        <v>11</v>
      </c>
      <c r="J421" s="766"/>
      <c r="K421" s="767"/>
      <c r="L421" s="768"/>
      <c r="M421" s="769" t="s">
        <v>12</v>
      </c>
      <c r="N421" s="769" t="s">
        <v>13</v>
      </c>
      <c r="O421" s="127" t="s">
        <v>391</v>
      </c>
      <c r="P421" s="109" t="s">
        <v>391</v>
      </c>
      <c r="Q421" s="770" t="s">
        <v>15</v>
      </c>
    </row>
    <row r="422" spans="1:17" ht="15.75">
      <c r="A422" s="103"/>
      <c r="B422" s="104"/>
      <c r="C422" s="105"/>
      <c r="D422" s="106" t="s">
        <v>12</v>
      </c>
      <c r="E422" s="106" t="s">
        <v>13</v>
      </c>
      <c r="F422" s="109" t="s">
        <v>14</v>
      </c>
      <c r="G422" s="109" t="s">
        <v>14</v>
      </c>
      <c r="H422" s="108" t="s">
        <v>15</v>
      </c>
      <c r="J422" s="812">
        <v>1</v>
      </c>
      <c r="K422" s="772" t="s">
        <v>124</v>
      </c>
      <c r="L422" s="772">
        <v>41</v>
      </c>
      <c r="M422" s="813">
        <v>53.86</v>
      </c>
      <c r="N422" s="774">
        <v>129530</v>
      </c>
      <c r="O422" s="772">
        <v>101277000</v>
      </c>
      <c r="P422" s="775">
        <v>23434000</v>
      </c>
      <c r="Q422" s="775">
        <v>150</v>
      </c>
    </row>
    <row r="423" spans="1:17" ht="15">
      <c r="A423" s="215">
        <v>1</v>
      </c>
      <c r="B423" s="23" t="s">
        <v>124</v>
      </c>
      <c r="C423" s="23">
        <v>48</v>
      </c>
      <c r="D423" s="42">
        <v>55.25</v>
      </c>
      <c r="E423" s="43">
        <v>109288</v>
      </c>
      <c r="F423" s="23">
        <v>76501600</v>
      </c>
      <c r="G423" s="22">
        <v>22914165</v>
      </c>
      <c r="H423" s="22">
        <v>229</v>
      </c>
      <c r="J423" s="812">
        <v>2</v>
      </c>
      <c r="K423" s="772" t="s">
        <v>131</v>
      </c>
      <c r="L423" s="772">
        <v>1</v>
      </c>
      <c r="M423" s="813">
        <v>1</v>
      </c>
      <c r="N423" s="774"/>
      <c r="O423" s="772"/>
      <c r="P423" s="775">
        <v>0</v>
      </c>
      <c r="Q423" s="775"/>
    </row>
    <row r="424" spans="1:17" ht="15">
      <c r="A424" s="215">
        <v>2</v>
      </c>
      <c r="B424" s="23" t="s">
        <v>125</v>
      </c>
      <c r="C424" s="23">
        <v>6</v>
      </c>
      <c r="D424" s="42">
        <v>7</v>
      </c>
      <c r="E424" s="43">
        <v>3862</v>
      </c>
      <c r="F424" s="23">
        <v>193100</v>
      </c>
      <c r="G424" s="22">
        <v>113200</v>
      </c>
      <c r="H424" s="22">
        <v>42</v>
      </c>
      <c r="J424" s="812">
        <v>3</v>
      </c>
      <c r="K424" s="772" t="s">
        <v>125</v>
      </c>
      <c r="L424" s="772">
        <v>3</v>
      </c>
      <c r="M424" s="813">
        <v>4</v>
      </c>
      <c r="N424" s="774">
        <v>8076</v>
      </c>
      <c r="O424" s="772">
        <v>496000</v>
      </c>
      <c r="P424" s="775">
        <v>65200</v>
      </c>
      <c r="Q424" s="775">
        <v>12</v>
      </c>
    </row>
    <row r="425" spans="1:17" ht="15">
      <c r="A425" s="215">
        <v>3</v>
      </c>
      <c r="B425" s="23" t="s">
        <v>137</v>
      </c>
      <c r="C425" s="23">
        <v>9</v>
      </c>
      <c r="D425" s="42">
        <v>10.27</v>
      </c>
      <c r="E425" s="43">
        <v>8990</v>
      </c>
      <c r="F425" s="23">
        <v>1348500</v>
      </c>
      <c r="G425" s="22">
        <v>1468120</v>
      </c>
      <c r="H425" s="22">
        <v>16</v>
      </c>
      <c r="J425" s="812">
        <v>4</v>
      </c>
      <c r="K425" s="772" t="s">
        <v>123</v>
      </c>
      <c r="L425" s="772"/>
      <c r="M425" s="773"/>
      <c r="N425" s="774">
        <v>7986</v>
      </c>
      <c r="O425" s="772">
        <v>2359600</v>
      </c>
      <c r="P425" s="775">
        <v>235960</v>
      </c>
      <c r="Q425" s="775">
        <v>30</v>
      </c>
    </row>
    <row r="426" spans="1:17" ht="15">
      <c r="A426" s="215">
        <v>4</v>
      </c>
      <c r="B426" s="23" t="s">
        <v>131</v>
      </c>
      <c r="C426" s="23">
        <v>1</v>
      </c>
      <c r="D426" s="42">
        <v>1</v>
      </c>
      <c r="E426" s="43">
        <v>0</v>
      </c>
      <c r="F426" s="23"/>
      <c r="G426" s="22">
        <v>27000</v>
      </c>
      <c r="H426" s="22">
        <v>1</v>
      </c>
      <c r="J426" s="812">
        <v>5</v>
      </c>
      <c r="K426" s="772"/>
      <c r="L426" s="772"/>
      <c r="M426" s="773"/>
      <c r="N426" s="774"/>
      <c r="O426" s="772"/>
      <c r="P426" s="775"/>
      <c r="Q426" s="775"/>
    </row>
    <row r="427" spans="1:17" ht="15">
      <c r="A427" s="215">
        <v>5</v>
      </c>
      <c r="B427" s="23" t="s">
        <v>176</v>
      </c>
      <c r="C427" s="23">
        <v>24</v>
      </c>
      <c r="D427" s="42">
        <v>54</v>
      </c>
      <c r="E427" s="43">
        <v>0</v>
      </c>
      <c r="F427" s="23"/>
      <c r="G427" s="22">
        <v>496445</v>
      </c>
      <c r="H427" s="22"/>
      <c r="J427" s="812">
        <v>6</v>
      </c>
      <c r="K427" s="772" t="s">
        <v>176</v>
      </c>
      <c r="L427" s="772"/>
      <c r="M427" s="773"/>
      <c r="N427" s="774"/>
      <c r="O427" s="772"/>
      <c r="P427" s="775">
        <v>3672</v>
      </c>
      <c r="Q427" s="775"/>
    </row>
    <row r="428" spans="1:17" ht="15">
      <c r="A428" s="215">
        <v>6</v>
      </c>
      <c r="B428" s="23" t="s">
        <v>123</v>
      </c>
      <c r="C428" s="23"/>
      <c r="D428" s="42"/>
      <c r="E428" s="43">
        <v>0</v>
      </c>
      <c r="F428" s="23"/>
      <c r="G428" s="22">
        <v>706925</v>
      </c>
      <c r="H428" s="22"/>
      <c r="J428" s="812">
        <v>7</v>
      </c>
      <c r="K428" s="772" t="s">
        <v>128</v>
      </c>
      <c r="L428" s="772"/>
      <c r="M428" s="773"/>
      <c r="N428" s="774"/>
      <c r="O428" s="772"/>
      <c r="P428" s="775">
        <v>4291000</v>
      </c>
      <c r="Q428" s="775"/>
    </row>
    <row r="429" spans="1:17" ht="15">
      <c r="A429" s="215">
        <v>7</v>
      </c>
      <c r="B429" s="23" t="s">
        <v>128</v>
      </c>
      <c r="C429" s="23"/>
      <c r="D429" s="42"/>
      <c r="E429" s="43"/>
      <c r="F429" s="23"/>
      <c r="G429" s="22">
        <v>5586968</v>
      </c>
      <c r="H429" s="22"/>
      <c r="J429" s="812">
        <v>8</v>
      </c>
      <c r="K429" s="772" t="s">
        <v>41</v>
      </c>
      <c r="L429" s="772"/>
      <c r="M429" s="773"/>
      <c r="N429" s="774"/>
      <c r="O429" s="772"/>
      <c r="P429" s="775">
        <v>2217850</v>
      </c>
      <c r="Q429" s="775"/>
    </row>
    <row r="430" spans="1:17" ht="15.75">
      <c r="A430" s="215">
        <v>8</v>
      </c>
      <c r="B430" s="23" t="s">
        <v>41</v>
      </c>
      <c r="C430" s="23"/>
      <c r="D430" s="42"/>
      <c r="E430" s="43"/>
      <c r="F430" s="23"/>
      <c r="G430" s="22">
        <v>1056718</v>
      </c>
      <c r="H430" s="22"/>
      <c r="J430" s="803"/>
      <c r="K430" s="804" t="s">
        <v>129</v>
      </c>
      <c r="L430" s="763">
        <f aca="true" t="shared" si="61" ref="L430:Q430">SUM(L422:L429)</f>
        <v>45</v>
      </c>
      <c r="M430" s="764">
        <f t="shared" si="61"/>
        <v>58.86</v>
      </c>
      <c r="N430" s="765">
        <f t="shared" si="61"/>
        <v>145592</v>
      </c>
      <c r="O430" s="763">
        <f t="shared" si="61"/>
        <v>104132600</v>
      </c>
      <c r="P430" s="765">
        <f>SUM(P422:P429)</f>
        <v>30247682</v>
      </c>
      <c r="Q430" s="763">
        <f t="shared" si="61"/>
        <v>192</v>
      </c>
    </row>
    <row r="431" spans="1:17" ht="15.75">
      <c r="A431" s="112"/>
      <c r="B431" s="113" t="s">
        <v>129</v>
      </c>
      <c r="C431" s="114">
        <f>SUM(C423:C428)</f>
        <v>88</v>
      </c>
      <c r="D431" s="115">
        <f>SUM(D423:D428)</f>
        <v>127.52</v>
      </c>
      <c r="E431" s="114">
        <f>SUM(E423:E428)</f>
        <v>122140</v>
      </c>
      <c r="F431" s="116">
        <f>SUM(F423:F428)</f>
        <v>78043200</v>
      </c>
      <c r="G431" s="116">
        <f>SUM(G423:G430)</f>
        <v>32369541</v>
      </c>
      <c r="H431" s="117">
        <f>SUM(H423:H428)</f>
        <v>288</v>
      </c>
      <c r="J431" s="814"/>
      <c r="K431" s="814"/>
      <c r="L431" s="814"/>
      <c r="M431" s="814"/>
      <c r="N431" s="814"/>
      <c r="O431" s="814"/>
      <c r="P431" s="814"/>
      <c r="Q431" s="814"/>
    </row>
    <row r="432" spans="9:17" s="139" customFormat="1" ht="15.75">
      <c r="I432"/>
      <c r="J432" s="755"/>
      <c r="K432" s="756"/>
      <c r="L432" s="757"/>
      <c r="M432" s="758" t="s">
        <v>97</v>
      </c>
      <c r="N432" s="759"/>
      <c r="O432" s="760"/>
      <c r="P432" s="760"/>
      <c r="Q432" s="761"/>
    </row>
    <row r="433" spans="1:17" ht="15.75">
      <c r="A433" s="95"/>
      <c r="B433" s="39"/>
      <c r="C433" s="40"/>
      <c r="D433" s="135" t="s">
        <v>97</v>
      </c>
      <c r="E433" s="97"/>
      <c r="F433" s="41"/>
      <c r="G433" s="41"/>
      <c r="H433" s="98"/>
      <c r="J433" s="762" t="s">
        <v>121</v>
      </c>
      <c r="K433" s="763" t="s">
        <v>5</v>
      </c>
      <c r="L433" s="763" t="s">
        <v>6</v>
      </c>
      <c r="M433" s="764" t="s">
        <v>7</v>
      </c>
      <c r="N433" s="763" t="s">
        <v>8</v>
      </c>
      <c r="O433" s="102" t="s">
        <v>9</v>
      </c>
      <c r="P433" s="102" t="s">
        <v>10</v>
      </c>
      <c r="Q433" s="762" t="s">
        <v>11</v>
      </c>
    </row>
    <row r="434" spans="1:17" ht="15.75">
      <c r="A434" s="99" t="s">
        <v>121</v>
      </c>
      <c r="B434" s="100" t="s">
        <v>5</v>
      </c>
      <c r="C434" s="100" t="s">
        <v>6</v>
      </c>
      <c r="D434" s="101" t="s">
        <v>7</v>
      </c>
      <c r="E434" s="100" t="s">
        <v>8</v>
      </c>
      <c r="F434" s="102" t="s">
        <v>9</v>
      </c>
      <c r="G434" s="102" t="s">
        <v>10</v>
      </c>
      <c r="H434" s="99" t="s">
        <v>11</v>
      </c>
      <c r="J434" s="815"/>
      <c r="K434" s="816"/>
      <c r="L434" s="817"/>
      <c r="M434" s="818" t="s">
        <v>12</v>
      </c>
      <c r="N434" s="818" t="s">
        <v>13</v>
      </c>
      <c r="O434" s="127" t="s">
        <v>391</v>
      </c>
      <c r="P434" s="109" t="s">
        <v>391</v>
      </c>
      <c r="Q434" s="819" t="s">
        <v>15</v>
      </c>
    </row>
    <row r="435" spans="1:17" ht="15.75">
      <c r="A435" s="216"/>
      <c r="B435" s="125"/>
      <c r="C435" s="217"/>
      <c r="D435" s="218" t="s">
        <v>12</v>
      </c>
      <c r="E435" s="218" t="s">
        <v>13</v>
      </c>
      <c r="F435" s="219" t="s">
        <v>14</v>
      </c>
      <c r="G435" s="219" t="s">
        <v>14</v>
      </c>
      <c r="H435" s="220" t="s">
        <v>15</v>
      </c>
      <c r="J435" s="771">
        <v>1</v>
      </c>
      <c r="K435" s="772" t="s">
        <v>137</v>
      </c>
      <c r="L435" s="772">
        <v>7</v>
      </c>
      <c r="M435" s="773">
        <v>668.559</v>
      </c>
      <c r="N435" s="774">
        <v>21291</v>
      </c>
      <c r="O435" s="775">
        <v>3725925</v>
      </c>
      <c r="P435" s="820">
        <v>3085000</v>
      </c>
      <c r="Q435" s="775">
        <v>30</v>
      </c>
    </row>
    <row r="436" spans="1:17" s="173" customFormat="1" ht="18" customHeight="1">
      <c r="A436" s="110">
        <v>1</v>
      </c>
      <c r="B436" s="23" t="s">
        <v>137</v>
      </c>
      <c r="C436" s="23">
        <v>7</v>
      </c>
      <c r="D436" s="42">
        <v>661.7561</v>
      </c>
      <c r="E436" s="43">
        <v>32968</v>
      </c>
      <c r="F436" s="23">
        <v>4945200</v>
      </c>
      <c r="G436" s="22">
        <v>7000000</v>
      </c>
      <c r="H436" s="22">
        <v>10</v>
      </c>
      <c r="I436"/>
      <c r="J436" s="771">
        <v>2</v>
      </c>
      <c r="K436" s="772" t="s">
        <v>124</v>
      </c>
      <c r="L436" s="772">
        <v>33</v>
      </c>
      <c r="M436" s="773">
        <v>486.865</v>
      </c>
      <c r="N436" s="774">
        <v>136240</v>
      </c>
      <c r="O436" s="775">
        <v>122616000</v>
      </c>
      <c r="P436" s="820">
        <v>22733000</v>
      </c>
      <c r="Q436" s="775">
        <v>55</v>
      </c>
    </row>
    <row r="437" spans="1:17" s="173" customFormat="1" ht="18" customHeight="1">
      <c r="A437" s="110">
        <v>2</v>
      </c>
      <c r="B437" s="23" t="s">
        <v>124</v>
      </c>
      <c r="C437" s="23">
        <v>30</v>
      </c>
      <c r="D437" s="42">
        <v>578.977</v>
      </c>
      <c r="E437" s="43">
        <v>103054</v>
      </c>
      <c r="F437" s="23">
        <v>103054000</v>
      </c>
      <c r="G437" s="22">
        <v>5000000</v>
      </c>
      <c r="H437" s="22">
        <v>50</v>
      </c>
      <c r="I437"/>
      <c r="J437" s="771">
        <v>3</v>
      </c>
      <c r="K437" s="772" t="s">
        <v>122</v>
      </c>
      <c r="L437" s="772">
        <v>22</v>
      </c>
      <c r="M437" s="773">
        <v>22.673</v>
      </c>
      <c r="N437" s="774">
        <v>7027</v>
      </c>
      <c r="O437" s="775">
        <v>6324300</v>
      </c>
      <c r="P437" s="820">
        <v>4865000</v>
      </c>
      <c r="Q437" s="775">
        <v>25</v>
      </c>
    </row>
    <row r="438" spans="1:17" s="173" customFormat="1" ht="18" customHeight="1">
      <c r="A438" s="110">
        <v>3</v>
      </c>
      <c r="B438" s="23" t="s">
        <v>122</v>
      </c>
      <c r="C438" s="23">
        <v>24</v>
      </c>
      <c r="D438" s="42">
        <v>28.2906</v>
      </c>
      <c r="E438" s="43">
        <v>1776</v>
      </c>
      <c r="F438" s="23">
        <v>1243200</v>
      </c>
      <c r="G438" s="22">
        <v>3070000</v>
      </c>
      <c r="H438" s="22">
        <v>150</v>
      </c>
      <c r="I438"/>
      <c r="J438" s="771">
        <v>4</v>
      </c>
      <c r="K438" s="772" t="s">
        <v>131</v>
      </c>
      <c r="L438" s="772">
        <v>42</v>
      </c>
      <c r="M438" s="773">
        <v>42.08</v>
      </c>
      <c r="N438" s="774">
        <v>11984</v>
      </c>
      <c r="O438" s="775">
        <v>2696400</v>
      </c>
      <c r="P438" s="820">
        <v>1740000</v>
      </c>
      <c r="Q438" s="775">
        <v>15</v>
      </c>
    </row>
    <row r="439" spans="1:17" s="173" customFormat="1" ht="18" customHeight="1">
      <c r="A439" s="110">
        <v>4</v>
      </c>
      <c r="B439" s="23" t="s">
        <v>131</v>
      </c>
      <c r="C439" s="23">
        <v>29</v>
      </c>
      <c r="D439" s="42">
        <v>29.8</v>
      </c>
      <c r="E439" s="43">
        <v>5831</v>
      </c>
      <c r="F439" s="23">
        <v>1166200</v>
      </c>
      <c r="G439" s="22">
        <v>375000</v>
      </c>
      <c r="H439" s="22">
        <v>40</v>
      </c>
      <c r="I439"/>
      <c r="J439" s="771">
        <v>5</v>
      </c>
      <c r="K439" s="772" t="s">
        <v>125</v>
      </c>
      <c r="L439" s="772">
        <v>878</v>
      </c>
      <c r="M439" s="773">
        <v>878</v>
      </c>
      <c r="N439" s="774">
        <v>2392731</v>
      </c>
      <c r="O439" s="775">
        <v>418727925</v>
      </c>
      <c r="P439" s="820">
        <v>526446000</v>
      </c>
      <c r="Q439" s="775">
        <v>3250</v>
      </c>
    </row>
    <row r="440" spans="1:17" s="173" customFormat="1" ht="18" customHeight="1">
      <c r="A440" s="110">
        <v>5</v>
      </c>
      <c r="B440" s="23" t="s">
        <v>177</v>
      </c>
      <c r="C440" s="23">
        <v>2</v>
      </c>
      <c r="D440" s="42">
        <v>289.89</v>
      </c>
      <c r="E440" s="43">
        <v>4885</v>
      </c>
      <c r="F440" s="23">
        <v>1221250</v>
      </c>
      <c r="G440" s="22">
        <v>151000</v>
      </c>
      <c r="H440" s="22">
        <v>5</v>
      </c>
      <c r="I440"/>
      <c r="J440" s="771">
        <v>6</v>
      </c>
      <c r="K440" s="772" t="s">
        <v>123</v>
      </c>
      <c r="L440" s="772"/>
      <c r="M440" s="773"/>
      <c r="N440" s="790">
        <v>7633150</v>
      </c>
      <c r="O440" s="790">
        <v>1526630000</v>
      </c>
      <c r="P440" s="820">
        <v>152663000</v>
      </c>
      <c r="Q440" s="775"/>
    </row>
    <row r="441" spans="1:17" s="173" customFormat="1" ht="18" customHeight="1">
      <c r="A441" s="110">
        <v>6</v>
      </c>
      <c r="B441" s="23" t="s">
        <v>178</v>
      </c>
      <c r="C441" s="23">
        <v>1</v>
      </c>
      <c r="D441" s="42">
        <v>1</v>
      </c>
      <c r="E441" s="43">
        <v>292</v>
      </c>
      <c r="F441" s="23"/>
      <c r="G441" s="22">
        <v>20000</v>
      </c>
      <c r="H441" s="22">
        <v>20</v>
      </c>
      <c r="I441"/>
      <c r="J441" s="771">
        <v>7</v>
      </c>
      <c r="K441" s="772" t="s">
        <v>135</v>
      </c>
      <c r="L441" s="772"/>
      <c r="M441" s="773"/>
      <c r="N441" s="774"/>
      <c r="O441" s="775"/>
      <c r="P441" s="820">
        <v>31318000</v>
      </c>
      <c r="Q441" s="775"/>
    </row>
    <row r="442" spans="1:17" s="173" customFormat="1" ht="18" customHeight="1">
      <c r="A442" s="110">
        <v>7</v>
      </c>
      <c r="B442" s="23" t="s">
        <v>125</v>
      </c>
      <c r="C442" s="23">
        <f>667+57</f>
        <v>724</v>
      </c>
      <c r="D442" s="42">
        <f>811+15.9066</f>
        <v>826.9066</v>
      </c>
      <c r="E442" s="43">
        <v>6776791</v>
      </c>
      <c r="F442" s="23">
        <v>338839550</v>
      </c>
      <c r="G442" s="22">
        <f>79649000+170000</f>
        <v>79819000</v>
      </c>
      <c r="H442" s="22">
        <v>3600</v>
      </c>
      <c r="I442"/>
      <c r="J442" s="771">
        <v>8</v>
      </c>
      <c r="K442" s="772" t="s">
        <v>177</v>
      </c>
      <c r="L442" s="772">
        <v>2</v>
      </c>
      <c r="M442" s="773">
        <v>8</v>
      </c>
      <c r="N442" s="774"/>
      <c r="O442" s="775"/>
      <c r="P442" s="820"/>
      <c r="Q442" s="775"/>
    </row>
    <row r="443" spans="1:17" s="173" customFormat="1" ht="18" customHeight="1">
      <c r="A443" s="110">
        <v>8</v>
      </c>
      <c r="B443" s="23" t="s">
        <v>123</v>
      </c>
      <c r="C443" s="23"/>
      <c r="D443" s="42"/>
      <c r="E443" s="43">
        <v>7800813</v>
      </c>
      <c r="F443" s="23">
        <v>390040625</v>
      </c>
      <c r="G443" s="22">
        <v>124813000</v>
      </c>
      <c r="H443" s="22"/>
      <c r="I443"/>
      <c r="J443" s="771">
        <v>9</v>
      </c>
      <c r="K443" s="772" t="s">
        <v>178</v>
      </c>
      <c r="L443" s="772">
        <v>1</v>
      </c>
      <c r="M443" s="773">
        <v>1</v>
      </c>
      <c r="N443" s="774"/>
      <c r="O443" s="821"/>
      <c r="P443" s="820">
        <v>25000</v>
      </c>
      <c r="Q443" s="775"/>
    </row>
    <row r="444" spans="1:17" s="173" customFormat="1" ht="18" customHeight="1">
      <c r="A444" s="110">
        <v>9</v>
      </c>
      <c r="B444" s="23" t="s">
        <v>179</v>
      </c>
      <c r="C444" s="23"/>
      <c r="D444" s="42"/>
      <c r="E444" s="43"/>
      <c r="F444" s="23"/>
      <c r="G444" s="22">
        <v>3500000</v>
      </c>
      <c r="H444" s="22"/>
      <c r="I444"/>
      <c r="J444" s="771">
        <v>10</v>
      </c>
      <c r="K444" s="772" t="s">
        <v>128</v>
      </c>
      <c r="L444" s="772"/>
      <c r="M444" s="773"/>
      <c r="N444" s="774"/>
      <c r="O444" s="772"/>
      <c r="P444" s="820">
        <v>20678000</v>
      </c>
      <c r="Q444" s="775"/>
    </row>
    <row r="445" spans="1:17" ht="18" customHeight="1">
      <c r="A445" s="110">
        <v>10</v>
      </c>
      <c r="B445" s="23" t="s">
        <v>135</v>
      </c>
      <c r="C445" s="23"/>
      <c r="D445" s="42"/>
      <c r="E445" s="43">
        <v>1850200</v>
      </c>
      <c r="F445" s="23">
        <v>925100000</v>
      </c>
      <c r="G445" s="22">
        <v>18502000</v>
      </c>
      <c r="H445" s="22"/>
      <c r="J445" s="771">
        <v>11</v>
      </c>
      <c r="K445" s="772" t="s">
        <v>41</v>
      </c>
      <c r="L445" s="772"/>
      <c r="M445" s="773"/>
      <c r="N445" s="774"/>
      <c r="O445" s="772"/>
      <c r="P445" s="822">
        <v>75507000</v>
      </c>
      <c r="Q445" s="775"/>
    </row>
    <row r="446" spans="1:17" ht="18" customHeight="1">
      <c r="A446" s="110">
        <v>11</v>
      </c>
      <c r="B446" s="23" t="s">
        <v>128</v>
      </c>
      <c r="C446" s="23"/>
      <c r="D446" s="42"/>
      <c r="E446" s="43"/>
      <c r="F446" s="23"/>
      <c r="G446" s="22">
        <v>10057000</v>
      </c>
      <c r="H446" s="22"/>
      <c r="J446" s="803"/>
      <c r="K446" s="804" t="s">
        <v>129</v>
      </c>
      <c r="L446" s="763">
        <f>SUM(L435:L443)</f>
        <v>985</v>
      </c>
      <c r="M446" s="764">
        <f>SUM(M435:M443)</f>
        <v>2107.1769999999997</v>
      </c>
      <c r="N446" s="765">
        <f>SUM(N435:N443)</f>
        <v>10202423</v>
      </c>
      <c r="O446" s="763">
        <f>SUM(O435:O443)</f>
        <v>2080720550</v>
      </c>
      <c r="P446" s="763">
        <f>SUM(P435:P445)</f>
        <v>839060000</v>
      </c>
      <c r="Q446" s="763">
        <f>SUM(Q435:Q443)</f>
        <v>3375</v>
      </c>
    </row>
    <row r="447" spans="1:17" ht="18" customHeight="1">
      <c r="A447" s="110">
        <v>12</v>
      </c>
      <c r="B447" s="23" t="s">
        <v>41</v>
      </c>
      <c r="C447" s="23"/>
      <c r="D447" s="42"/>
      <c r="E447" s="43"/>
      <c r="F447" s="23"/>
      <c r="G447" s="22">
        <f>710000+10902000</f>
        <v>11612000</v>
      </c>
      <c r="H447" s="22"/>
      <c r="J447" s="805"/>
      <c r="K447" s="806"/>
      <c r="L447" s="807"/>
      <c r="M447" s="808"/>
      <c r="N447" s="808"/>
      <c r="O447" s="809"/>
      <c r="P447" s="809"/>
      <c r="Q447" s="810"/>
    </row>
    <row r="448" spans="1:17" ht="15.75">
      <c r="A448" s="124"/>
      <c r="B448" s="158" t="s">
        <v>129</v>
      </c>
      <c r="C448" s="159">
        <f aca="true" t="shared" si="62" ref="C448:H448">SUM(C436:C445)</f>
        <v>817</v>
      </c>
      <c r="D448" s="160">
        <f t="shared" si="62"/>
        <v>2416.6202999999996</v>
      </c>
      <c r="E448" s="159">
        <f t="shared" si="62"/>
        <v>16576610</v>
      </c>
      <c r="F448" s="161">
        <f t="shared" si="62"/>
        <v>1765610025</v>
      </c>
      <c r="G448" s="161">
        <f>SUM(G436:G447)</f>
        <v>263919000</v>
      </c>
      <c r="H448" s="128">
        <f t="shared" si="62"/>
        <v>3875</v>
      </c>
      <c r="J448" s="118"/>
      <c r="K448" s="121"/>
      <c r="L448" s="12"/>
      <c r="M448" s="123"/>
      <c r="N448" s="123"/>
      <c r="O448" s="14"/>
      <c r="P448" s="14"/>
      <c r="Q448" s="120"/>
    </row>
    <row r="449" spans="1:17" ht="15.75" customHeight="1">
      <c r="A449" s="152"/>
      <c r="B449" s="153"/>
      <c r="C449" s="154"/>
      <c r="D449" s="155"/>
      <c r="E449" s="155"/>
      <c r="F449" s="156"/>
      <c r="G449" s="156"/>
      <c r="H449" s="157"/>
      <c r="J449" s="95"/>
      <c r="K449" s="39"/>
      <c r="L449" s="40"/>
      <c r="M449" s="135" t="s">
        <v>102</v>
      </c>
      <c r="N449" s="97"/>
      <c r="O449" s="41"/>
      <c r="P449" s="41"/>
      <c r="Q449" s="98"/>
    </row>
    <row r="450" spans="1:17" ht="15.75">
      <c r="A450" s="95"/>
      <c r="B450" s="39"/>
      <c r="C450" s="40"/>
      <c r="D450" s="135" t="s">
        <v>102</v>
      </c>
      <c r="E450" s="97"/>
      <c r="F450" s="41"/>
      <c r="G450" s="41"/>
      <c r="H450" s="98"/>
      <c r="J450" s="99" t="s">
        <v>121</v>
      </c>
      <c r="K450" s="100" t="s">
        <v>5</v>
      </c>
      <c r="L450" s="100" t="s">
        <v>6</v>
      </c>
      <c r="M450" s="101" t="s">
        <v>7</v>
      </c>
      <c r="N450" s="100" t="s">
        <v>8</v>
      </c>
      <c r="O450" s="102" t="s">
        <v>9</v>
      </c>
      <c r="P450" s="102" t="s">
        <v>10</v>
      </c>
      <c r="Q450" s="99" t="s">
        <v>11</v>
      </c>
    </row>
    <row r="451" spans="1:17" ht="15.75">
      <c r="A451" s="99" t="s">
        <v>121</v>
      </c>
      <c r="B451" s="100" t="s">
        <v>5</v>
      </c>
      <c r="C451" s="100" t="s">
        <v>6</v>
      </c>
      <c r="D451" s="101" t="s">
        <v>7</v>
      </c>
      <c r="E451" s="100" t="s">
        <v>8</v>
      </c>
      <c r="F451" s="102" t="s">
        <v>9</v>
      </c>
      <c r="G451" s="102" t="s">
        <v>10</v>
      </c>
      <c r="H451" s="99" t="s">
        <v>11</v>
      </c>
      <c r="J451" s="103"/>
      <c r="K451" s="104"/>
      <c r="L451" s="105"/>
      <c r="M451" s="106" t="s">
        <v>12</v>
      </c>
      <c r="N451" s="106" t="s">
        <v>13</v>
      </c>
      <c r="O451" s="127" t="s">
        <v>391</v>
      </c>
      <c r="P451" s="109" t="s">
        <v>391</v>
      </c>
      <c r="Q451" s="108" t="s">
        <v>15</v>
      </c>
    </row>
    <row r="452" spans="1:17" ht="15.75">
      <c r="A452" s="103"/>
      <c r="B452" s="104"/>
      <c r="C452" s="105"/>
      <c r="D452" s="106" t="s">
        <v>12</v>
      </c>
      <c r="E452" s="106" t="s">
        <v>13</v>
      </c>
      <c r="F452" s="109" t="s">
        <v>14</v>
      </c>
      <c r="G452" s="109" t="s">
        <v>14</v>
      </c>
      <c r="H452" s="108" t="s">
        <v>15</v>
      </c>
      <c r="J452" s="110">
        <v>1</v>
      </c>
      <c r="K452" s="23" t="s">
        <v>124</v>
      </c>
      <c r="L452" s="20">
        <v>83</v>
      </c>
      <c r="M452" s="32">
        <v>90.11</v>
      </c>
      <c r="N452" s="22">
        <v>622706</v>
      </c>
      <c r="O452" s="22">
        <v>591570700</v>
      </c>
      <c r="P452" s="46">
        <v>52167000</v>
      </c>
      <c r="Q452" s="20">
        <v>2480</v>
      </c>
    </row>
    <row r="453" spans="1:17" ht="15">
      <c r="A453" s="110">
        <v>1</v>
      </c>
      <c r="B453" s="23" t="s">
        <v>124</v>
      </c>
      <c r="C453" s="20">
        <v>86</v>
      </c>
      <c r="D453" s="32">
        <v>74.95</v>
      </c>
      <c r="E453" s="22">
        <v>291099</v>
      </c>
      <c r="F453" s="22">
        <v>261989100</v>
      </c>
      <c r="G453" s="46">
        <v>48463185</v>
      </c>
      <c r="H453" s="20">
        <v>2050</v>
      </c>
      <c r="J453" s="111">
        <f>+J452+1</f>
        <v>2</v>
      </c>
      <c r="K453" s="23" t="s">
        <v>122</v>
      </c>
      <c r="L453" s="20">
        <v>48</v>
      </c>
      <c r="M453" s="32">
        <v>101.14</v>
      </c>
      <c r="N453" s="22">
        <v>122986</v>
      </c>
      <c r="O453" s="22">
        <v>110687400</v>
      </c>
      <c r="P453" s="46">
        <v>25926000</v>
      </c>
      <c r="Q453" s="20">
        <v>755</v>
      </c>
    </row>
    <row r="454" spans="1:17" ht="15">
      <c r="A454" s="111">
        <f>+A453+1</f>
        <v>2</v>
      </c>
      <c r="B454" s="23" t="s">
        <v>122</v>
      </c>
      <c r="C454" s="20">
        <v>35</v>
      </c>
      <c r="D454" s="32">
        <v>61</v>
      </c>
      <c r="E454" s="22">
        <v>47111</v>
      </c>
      <c r="F454" s="22">
        <v>37688800</v>
      </c>
      <c r="G454" s="46">
        <v>6803188</v>
      </c>
      <c r="H454" s="20">
        <v>300</v>
      </c>
      <c r="J454" s="111">
        <f>+J453+1</f>
        <v>3</v>
      </c>
      <c r="K454" s="23" t="s">
        <v>180</v>
      </c>
      <c r="L454" s="20">
        <v>9</v>
      </c>
      <c r="M454" s="32">
        <v>14.72</v>
      </c>
      <c r="N454" s="22">
        <v>17222</v>
      </c>
      <c r="O454" s="22">
        <v>2583300</v>
      </c>
      <c r="P454" s="46">
        <v>1118000</v>
      </c>
      <c r="Q454" s="20">
        <v>140</v>
      </c>
    </row>
    <row r="455" spans="1:17" ht="15">
      <c r="A455" s="111">
        <f>+A454+1</f>
        <v>3</v>
      </c>
      <c r="B455" s="23" t="s">
        <v>180</v>
      </c>
      <c r="C455" s="20">
        <v>7</v>
      </c>
      <c r="D455" s="32">
        <v>10.25</v>
      </c>
      <c r="E455" s="22">
        <v>5809</v>
      </c>
      <c r="F455" s="22">
        <v>580900</v>
      </c>
      <c r="G455" s="46">
        <v>319529</v>
      </c>
      <c r="H455" s="20">
        <v>30</v>
      </c>
      <c r="J455" s="111">
        <f>+J454+1</f>
        <v>4</v>
      </c>
      <c r="K455" s="23" t="s">
        <v>181</v>
      </c>
      <c r="L455" s="20">
        <v>27</v>
      </c>
      <c r="M455" s="32">
        <v>26.18</v>
      </c>
      <c r="N455" s="22">
        <v>197304</v>
      </c>
      <c r="O455" s="22">
        <v>23676480</v>
      </c>
      <c r="P455" s="46">
        <v>5109000</v>
      </c>
      <c r="Q455" s="20">
        <v>780</v>
      </c>
    </row>
    <row r="456" spans="1:17" ht="15">
      <c r="A456" s="111">
        <f>+A455+1</f>
        <v>4</v>
      </c>
      <c r="B456" s="23" t="s">
        <v>181</v>
      </c>
      <c r="C456" s="20">
        <v>28</v>
      </c>
      <c r="D456" s="32">
        <v>27</v>
      </c>
      <c r="E456" s="22">
        <v>337469</v>
      </c>
      <c r="F456" s="22">
        <v>21935485</v>
      </c>
      <c r="G456" s="46">
        <v>6199437</v>
      </c>
      <c r="H456" s="20">
        <v>600</v>
      </c>
      <c r="J456" s="111">
        <f>+J455+1</f>
        <v>5</v>
      </c>
      <c r="K456" s="23" t="s">
        <v>143</v>
      </c>
      <c r="L456" s="20">
        <v>92</v>
      </c>
      <c r="M456" s="32">
        <v>91.88</v>
      </c>
      <c r="N456" s="22">
        <v>672839</v>
      </c>
      <c r="O456" s="22">
        <v>100925850</v>
      </c>
      <c r="P456" s="46">
        <v>31774922</v>
      </c>
      <c r="Q456" s="20">
        <v>1020</v>
      </c>
    </row>
    <row r="457" spans="1:17" ht="15">
      <c r="A457" s="111">
        <f>+A456+1</f>
        <v>5</v>
      </c>
      <c r="B457" s="23" t="s">
        <v>143</v>
      </c>
      <c r="C457" s="20">
        <v>56</v>
      </c>
      <c r="D457" s="32">
        <v>57</v>
      </c>
      <c r="E457" s="22">
        <v>828018</v>
      </c>
      <c r="F457" s="22">
        <v>53821170</v>
      </c>
      <c r="G457" s="46">
        <v>7113782</v>
      </c>
      <c r="H457" s="20">
        <v>350</v>
      </c>
      <c r="J457" s="136">
        <v>6</v>
      </c>
      <c r="K457" s="23" t="s">
        <v>123</v>
      </c>
      <c r="L457" s="221"/>
      <c r="M457" s="222"/>
      <c r="N457" s="20">
        <v>815825</v>
      </c>
      <c r="O457" s="32">
        <v>138690250</v>
      </c>
      <c r="P457" s="22">
        <v>17954180</v>
      </c>
      <c r="Q457" s="22">
        <v>840</v>
      </c>
    </row>
    <row r="458" spans="1:17" ht="15">
      <c r="A458" s="111"/>
      <c r="B458" s="23"/>
      <c r="C458" s="20"/>
      <c r="D458" s="32"/>
      <c r="E458" s="22"/>
      <c r="F458" s="22"/>
      <c r="G458" s="46"/>
      <c r="H458" s="20"/>
      <c r="J458" s="110">
        <v>7</v>
      </c>
      <c r="K458" s="23" t="s">
        <v>135</v>
      </c>
      <c r="L458" s="221"/>
      <c r="M458" s="222"/>
      <c r="N458" s="221"/>
      <c r="O458" s="222"/>
      <c r="P458" s="188"/>
      <c r="Q458" s="188"/>
    </row>
    <row r="459" spans="1:17" ht="15">
      <c r="A459" s="136">
        <v>6</v>
      </c>
      <c r="B459" s="23" t="s">
        <v>123</v>
      </c>
      <c r="C459" s="20">
        <v>0</v>
      </c>
      <c r="D459" s="32">
        <v>0</v>
      </c>
      <c r="E459" s="22">
        <v>291460</v>
      </c>
      <c r="F459" s="22">
        <v>18944900</v>
      </c>
      <c r="G459" s="46">
        <v>6658745</v>
      </c>
      <c r="H459" s="20">
        <v>525</v>
      </c>
      <c r="J459" s="111">
        <v>8</v>
      </c>
      <c r="K459" s="23" t="s">
        <v>128</v>
      </c>
      <c r="L459" s="221"/>
      <c r="M459" s="222"/>
      <c r="N459" s="188"/>
      <c r="O459" s="188"/>
      <c r="P459" s="223">
        <v>15742000</v>
      </c>
      <c r="Q459" s="221"/>
    </row>
    <row r="460" spans="1:17" ht="15">
      <c r="A460" s="111">
        <f>+A459+1</f>
        <v>7</v>
      </c>
      <c r="B460" s="23" t="s">
        <v>128</v>
      </c>
      <c r="C460" s="221"/>
      <c r="D460" s="222"/>
      <c r="E460" s="188"/>
      <c r="F460" s="188"/>
      <c r="G460" s="223">
        <v>4371900</v>
      </c>
      <c r="H460" s="221"/>
      <c r="J460" s="111">
        <v>9</v>
      </c>
      <c r="K460" s="23" t="s">
        <v>41</v>
      </c>
      <c r="L460" s="221"/>
      <c r="M460" s="222"/>
      <c r="N460" s="188"/>
      <c r="O460" s="188"/>
      <c r="P460" s="223">
        <v>18548151</v>
      </c>
      <c r="Q460" s="221"/>
    </row>
    <row r="461" spans="1:17" ht="15.75">
      <c r="A461" s="136">
        <v>8</v>
      </c>
      <c r="B461" s="23" t="s">
        <v>41</v>
      </c>
      <c r="C461" s="221"/>
      <c r="D461" s="222"/>
      <c r="E461" s="188"/>
      <c r="F461" s="188"/>
      <c r="G461" s="223">
        <v>1162594</v>
      </c>
      <c r="H461" s="221"/>
      <c r="J461" s="124"/>
      <c r="K461" s="158" t="s">
        <v>129</v>
      </c>
      <c r="L461" s="100">
        <f>SUM(L452:L457)</f>
        <v>259</v>
      </c>
      <c r="M461" s="101">
        <f>SUM(M452:M457)</f>
        <v>324.03</v>
      </c>
      <c r="N461" s="102">
        <f>SUM(N452:N457)</f>
        <v>2448882</v>
      </c>
      <c r="O461" s="100">
        <f>SUM(O452:O457)</f>
        <v>968133980</v>
      </c>
      <c r="P461" s="100">
        <f>SUM(P452:P460)</f>
        <v>168339253</v>
      </c>
      <c r="Q461" s="100">
        <f>SUM(Q452:Q457)</f>
        <v>6015</v>
      </c>
    </row>
    <row r="462" spans="1:17" ht="15.75">
      <c r="A462" s="124"/>
      <c r="B462" s="158" t="s">
        <v>129</v>
      </c>
      <c r="C462" s="224">
        <f>SUM(C453:C459)</f>
        <v>212</v>
      </c>
      <c r="D462" s="225">
        <f>SUM(D453:D459)</f>
        <v>230.2</v>
      </c>
      <c r="E462" s="159">
        <f>SUM(E453:E459)</f>
        <v>1800966</v>
      </c>
      <c r="F462" s="189">
        <f>SUM(F453:F459)</f>
        <v>394960355</v>
      </c>
      <c r="G462" s="226">
        <f>SUM(G453:G461)</f>
        <v>81092360</v>
      </c>
      <c r="H462" s="128">
        <f>SUM(H453:H459)</f>
        <v>3855</v>
      </c>
      <c r="J462" s="152"/>
      <c r="K462" s="153"/>
      <c r="L462" s="154"/>
      <c r="M462" s="155"/>
      <c r="N462" s="155"/>
      <c r="O462" s="156"/>
      <c r="P462" s="156"/>
      <c r="Q462" s="157"/>
    </row>
    <row r="463" spans="1:17" ht="15.75" customHeight="1">
      <c r="A463" s="152"/>
      <c r="B463" s="153"/>
      <c r="C463" s="154"/>
      <c r="D463" s="155"/>
      <c r="E463" s="155"/>
      <c r="F463" s="156"/>
      <c r="G463" s="156"/>
      <c r="H463" s="157"/>
      <c r="J463" s="95"/>
      <c r="K463" s="39"/>
      <c r="L463" s="40"/>
      <c r="M463" s="135" t="s">
        <v>182</v>
      </c>
      <c r="N463" s="97"/>
      <c r="O463" s="41"/>
      <c r="P463" s="41"/>
      <c r="Q463" s="214"/>
    </row>
    <row r="464" spans="1:17" ht="15.75">
      <c r="A464" s="95"/>
      <c r="B464" s="39"/>
      <c r="C464" s="40"/>
      <c r="D464" s="135" t="s">
        <v>182</v>
      </c>
      <c r="E464" s="97"/>
      <c r="F464" s="41"/>
      <c r="G464" s="41"/>
      <c r="H464" s="214"/>
      <c r="J464" s="99" t="s">
        <v>121</v>
      </c>
      <c r="K464" s="100" t="s">
        <v>5</v>
      </c>
      <c r="L464" s="100" t="s">
        <v>6</v>
      </c>
      <c r="M464" s="101" t="s">
        <v>7</v>
      </c>
      <c r="N464" s="100" t="s">
        <v>8</v>
      </c>
      <c r="O464" s="102" t="s">
        <v>9</v>
      </c>
      <c r="P464" s="102" t="s">
        <v>10</v>
      </c>
      <c r="Q464" s="99" t="s">
        <v>11</v>
      </c>
    </row>
    <row r="465" spans="1:17" ht="15.75">
      <c r="A465" s="99" t="s">
        <v>121</v>
      </c>
      <c r="B465" s="100" t="s">
        <v>5</v>
      </c>
      <c r="C465" s="100" t="s">
        <v>6</v>
      </c>
      <c r="D465" s="101" t="s">
        <v>7</v>
      </c>
      <c r="E465" s="100" t="s">
        <v>8</v>
      </c>
      <c r="F465" s="102" t="s">
        <v>9</v>
      </c>
      <c r="G465" s="102" t="s">
        <v>10</v>
      </c>
      <c r="H465" s="99" t="s">
        <v>11</v>
      </c>
      <c r="J465" s="103"/>
      <c r="K465" s="104"/>
      <c r="L465" s="105"/>
      <c r="M465" s="106" t="s">
        <v>12</v>
      </c>
      <c r="N465" s="106" t="s">
        <v>13</v>
      </c>
      <c r="O465" s="127" t="s">
        <v>391</v>
      </c>
      <c r="P465" s="109" t="s">
        <v>391</v>
      </c>
      <c r="Q465" s="108" t="s">
        <v>15</v>
      </c>
    </row>
    <row r="466" spans="1:17" ht="15.75" customHeight="1">
      <c r="A466" s="103"/>
      <c r="B466" s="104"/>
      <c r="C466" s="105"/>
      <c r="D466" s="106" t="s">
        <v>12</v>
      </c>
      <c r="E466" s="106" t="s">
        <v>13</v>
      </c>
      <c r="F466" s="109" t="s">
        <v>14</v>
      </c>
      <c r="G466" s="109" t="s">
        <v>14</v>
      </c>
      <c r="H466" s="108" t="s">
        <v>15</v>
      </c>
      <c r="J466" s="110">
        <v>1</v>
      </c>
      <c r="K466" s="23" t="s">
        <v>137</v>
      </c>
      <c r="L466" s="20">
        <v>41</v>
      </c>
      <c r="M466" s="23">
        <v>2439.5</v>
      </c>
      <c r="N466" s="22">
        <v>785877</v>
      </c>
      <c r="O466" s="22">
        <v>176822325</v>
      </c>
      <c r="P466" s="22">
        <v>51082000</v>
      </c>
      <c r="Q466" s="20">
        <v>510</v>
      </c>
    </row>
    <row r="467" spans="1:17" ht="15">
      <c r="A467" s="110">
        <v>1</v>
      </c>
      <c r="B467" s="23" t="s">
        <v>122</v>
      </c>
      <c r="C467" s="20">
        <v>39</v>
      </c>
      <c r="D467" s="32">
        <v>63</v>
      </c>
      <c r="E467" s="22">
        <v>1426.906</v>
      </c>
      <c r="F467" s="22">
        <v>998834.2</v>
      </c>
      <c r="G467" s="46">
        <v>2140374</v>
      </c>
      <c r="H467" s="20">
        <v>60</v>
      </c>
      <c r="J467" s="111">
        <v>2</v>
      </c>
      <c r="K467" s="23" t="s">
        <v>124</v>
      </c>
      <c r="L467" s="20">
        <v>5</v>
      </c>
      <c r="M467" s="23">
        <v>8</v>
      </c>
      <c r="N467" s="22">
        <v>7900</v>
      </c>
      <c r="O467" s="22">
        <v>2765000</v>
      </c>
      <c r="P467" s="22">
        <v>1354000</v>
      </c>
      <c r="Q467" s="20">
        <v>60</v>
      </c>
    </row>
    <row r="468" spans="1:17" ht="15">
      <c r="A468" s="111">
        <v>2</v>
      </c>
      <c r="B468" s="23" t="s">
        <v>123</v>
      </c>
      <c r="C468" s="20"/>
      <c r="D468" s="32"/>
      <c r="E468" s="22">
        <f>G468/10</f>
        <v>1783949.9</v>
      </c>
      <c r="F468" s="22">
        <v>89197495</v>
      </c>
      <c r="G468" s="46">
        <v>17839499</v>
      </c>
      <c r="H468" s="20">
        <v>20</v>
      </c>
      <c r="J468" s="111">
        <v>3</v>
      </c>
      <c r="K468" s="23" t="s">
        <v>166</v>
      </c>
      <c r="L468" s="20">
        <v>31</v>
      </c>
      <c r="M468" s="23">
        <v>37.35</v>
      </c>
      <c r="N468" s="22">
        <v>22596</v>
      </c>
      <c r="O468" s="22">
        <v>7908600</v>
      </c>
      <c r="P468" s="22">
        <v>1425000</v>
      </c>
      <c r="Q468" s="20">
        <v>340</v>
      </c>
    </row>
    <row r="469" spans="1:17" ht="15">
      <c r="A469" s="111">
        <v>3</v>
      </c>
      <c r="B469" s="23" t="s">
        <v>137</v>
      </c>
      <c r="C469" s="20">
        <v>29</v>
      </c>
      <c r="D469" s="32">
        <v>2072.24</v>
      </c>
      <c r="E469" s="22">
        <f>526232.93+4244</f>
        <v>530476.93</v>
      </c>
      <c r="F469" s="22">
        <v>79571540</v>
      </c>
      <c r="G469" s="46">
        <v>29176255</v>
      </c>
      <c r="H469" s="20">
        <v>200</v>
      </c>
      <c r="J469" s="111">
        <v>4</v>
      </c>
      <c r="K469" s="23" t="s">
        <v>122</v>
      </c>
      <c r="L469" s="20">
        <v>57</v>
      </c>
      <c r="M469" s="23">
        <v>111</v>
      </c>
      <c r="N469" s="22">
        <v>75200</v>
      </c>
      <c r="O469" s="22">
        <v>45120000</v>
      </c>
      <c r="P469" s="22">
        <v>13160000</v>
      </c>
      <c r="Q469" s="20">
        <v>610</v>
      </c>
    </row>
    <row r="470" spans="1:17" ht="15">
      <c r="A470" s="111">
        <v>4</v>
      </c>
      <c r="B470" s="23" t="s">
        <v>124</v>
      </c>
      <c r="C470" s="20">
        <v>6</v>
      </c>
      <c r="D470" s="32">
        <v>12</v>
      </c>
      <c r="E470" s="22">
        <v>215682</v>
      </c>
      <c r="F470" s="22">
        <v>150977400</v>
      </c>
      <c r="G470" s="46">
        <v>323524</v>
      </c>
      <c r="H470" s="20">
        <v>20</v>
      </c>
      <c r="J470" s="111">
        <v>5</v>
      </c>
      <c r="K470" s="23" t="s">
        <v>125</v>
      </c>
      <c r="L470" s="20">
        <v>215</v>
      </c>
      <c r="M470" s="23">
        <v>215</v>
      </c>
      <c r="N470" s="22">
        <v>1534764</v>
      </c>
      <c r="O470" s="22">
        <v>345321900</v>
      </c>
      <c r="P470" s="22">
        <v>26091000</v>
      </c>
      <c r="Q470" s="20">
        <v>1200</v>
      </c>
    </row>
    <row r="471" spans="1:17" ht="15">
      <c r="A471" s="111">
        <v>5</v>
      </c>
      <c r="B471" s="23" t="s">
        <v>125</v>
      </c>
      <c r="C471" s="20">
        <v>165</v>
      </c>
      <c r="D471" s="32">
        <v>200</v>
      </c>
      <c r="E471" s="22">
        <f>117244+192300</f>
        <v>309544</v>
      </c>
      <c r="F471" s="22">
        <v>15477200</v>
      </c>
      <c r="G471" s="46">
        <v>3095449</v>
      </c>
      <c r="H471" s="20">
        <v>220</v>
      </c>
      <c r="J471" s="136">
        <v>6</v>
      </c>
      <c r="K471" s="23" t="s">
        <v>123</v>
      </c>
      <c r="L471" s="20"/>
      <c r="M471" s="23"/>
      <c r="N471" s="188">
        <v>2410550</v>
      </c>
      <c r="O471" s="188">
        <v>120527500</v>
      </c>
      <c r="P471" s="188">
        <v>48211000</v>
      </c>
      <c r="Q471" s="20">
        <v>580</v>
      </c>
    </row>
    <row r="472" spans="1:17" ht="15">
      <c r="A472" s="136">
        <v>6</v>
      </c>
      <c r="B472" s="23" t="s">
        <v>183</v>
      </c>
      <c r="C472" s="20"/>
      <c r="D472" s="32"/>
      <c r="E472" s="22">
        <v>3515</v>
      </c>
      <c r="F472" s="22"/>
      <c r="G472" s="46">
        <v>342000</v>
      </c>
      <c r="H472" s="20">
        <v>300</v>
      </c>
      <c r="J472" s="111">
        <v>7</v>
      </c>
      <c r="K472" s="23" t="s">
        <v>183</v>
      </c>
      <c r="L472" s="221"/>
      <c r="M472" s="347"/>
      <c r="N472" s="313">
        <v>17718</v>
      </c>
      <c r="O472" s="313"/>
      <c r="P472" s="354">
        <v>3395000</v>
      </c>
      <c r="Q472" s="221"/>
    </row>
    <row r="473" spans="1:17" ht="15">
      <c r="A473" s="136"/>
      <c r="B473" s="23"/>
      <c r="C473" s="221"/>
      <c r="D473" s="222"/>
      <c r="E473" s="188"/>
      <c r="F473" s="188"/>
      <c r="G473" s="223"/>
      <c r="H473" s="221"/>
      <c r="J473" s="110">
        <v>8</v>
      </c>
      <c r="K473" s="23" t="s">
        <v>146</v>
      </c>
      <c r="L473" s="221"/>
      <c r="M473" s="347"/>
      <c r="N473" s="313"/>
      <c r="O473" s="313"/>
      <c r="P473" s="354"/>
      <c r="Q473" s="221"/>
    </row>
    <row r="474" spans="1:17" ht="15.75">
      <c r="A474" s="111">
        <v>7</v>
      </c>
      <c r="B474" s="23" t="s">
        <v>166</v>
      </c>
      <c r="C474" s="221">
        <v>34</v>
      </c>
      <c r="D474" s="222">
        <v>36</v>
      </c>
      <c r="E474" s="188">
        <f>115939+6487.7</f>
        <v>122426.7</v>
      </c>
      <c r="F474" s="188">
        <v>9182000</v>
      </c>
      <c r="G474" s="223">
        <v>1821260</v>
      </c>
      <c r="H474" s="221">
        <v>50</v>
      </c>
      <c r="J474" s="111">
        <v>9</v>
      </c>
      <c r="K474" s="23" t="s">
        <v>128</v>
      </c>
      <c r="L474" s="20"/>
      <c r="M474" s="347"/>
      <c r="N474" s="313"/>
      <c r="O474" s="324"/>
      <c r="P474" s="355">
        <v>8542000</v>
      </c>
      <c r="Q474" s="20"/>
    </row>
    <row r="475" spans="1:17" ht="15">
      <c r="A475" s="110">
        <v>8</v>
      </c>
      <c r="B475" s="23" t="s">
        <v>146</v>
      </c>
      <c r="C475" s="20"/>
      <c r="D475" s="32"/>
      <c r="E475" s="22">
        <v>2400</v>
      </c>
      <c r="F475" s="22"/>
      <c r="G475" s="46">
        <v>24000</v>
      </c>
      <c r="H475" s="20">
        <v>10</v>
      </c>
      <c r="J475" s="111">
        <v>10</v>
      </c>
      <c r="K475" s="23" t="s">
        <v>41</v>
      </c>
      <c r="L475" s="20"/>
      <c r="M475" s="347"/>
      <c r="N475" s="313"/>
      <c r="O475" s="313"/>
      <c r="P475" s="355"/>
      <c r="Q475" s="20"/>
    </row>
    <row r="476" spans="1:17" ht="15">
      <c r="A476" s="110">
        <v>9</v>
      </c>
      <c r="B476" s="23" t="s">
        <v>128</v>
      </c>
      <c r="C476" s="20"/>
      <c r="D476" s="32"/>
      <c r="E476" s="22"/>
      <c r="F476" s="22"/>
      <c r="G476" s="46">
        <v>11705686</v>
      </c>
      <c r="H476" s="20"/>
      <c r="J476" s="111"/>
      <c r="K476" s="23"/>
      <c r="L476" s="20"/>
      <c r="M476" s="23"/>
      <c r="N476" s="343"/>
      <c r="O476" s="343"/>
      <c r="P476" s="46"/>
      <c r="Q476" s="20"/>
    </row>
    <row r="477" spans="1:17" ht="15.75">
      <c r="A477" s="110">
        <v>10</v>
      </c>
      <c r="B477" s="23" t="s">
        <v>41</v>
      </c>
      <c r="C477" s="20"/>
      <c r="D477" s="32"/>
      <c r="E477" s="22"/>
      <c r="F477" s="22"/>
      <c r="G477" s="46">
        <v>24780601</v>
      </c>
      <c r="H477" s="20"/>
      <c r="J477" s="112"/>
      <c r="K477" s="113" t="s">
        <v>129</v>
      </c>
      <c r="L477" s="100">
        <f>SUM(L466:L475)</f>
        <v>349</v>
      </c>
      <c r="M477" s="101">
        <f>SUM(M466:M475)</f>
        <v>2810.85</v>
      </c>
      <c r="N477" s="102">
        <f>SUM(N466:N475)</f>
        <v>4854605</v>
      </c>
      <c r="O477" s="102">
        <f>SUM(O466:O476)</f>
        <v>698465325</v>
      </c>
      <c r="P477" s="100">
        <f>SUM(P466:P476)</f>
        <v>153260000</v>
      </c>
      <c r="Q477" s="100">
        <f>SUM(Q466:Q474)</f>
        <v>3300</v>
      </c>
    </row>
    <row r="478" spans="1:17" ht="15.75">
      <c r="A478" s="124"/>
      <c r="B478" s="158" t="s">
        <v>129</v>
      </c>
      <c r="C478" s="224">
        <f>SUM(C467:C475)</f>
        <v>273</v>
      </c>
      <c r="D478" s="225">
        <f>SUM(D467:D475)</f>
        <v>2383.24</v>
      </c>
      <c r="E478" s="161">
        <f>SUM(E467:E475)</f>
        <v>2969421.436</v>
      </c>
      <c r="F478" s="189">
        <f>SUM(F467:F475)</f>
        <v>345404469.2</v>
      </c>
      <c r="G478" s="226">
        <f>SUM(G467:G477)</f>
        <v>91248648</v>
      </c>
      <c r="H478" s="128">
        <f>SUM(H467:H475)</f>
        <v>880</v>
      </c>
      <c r="J478" s="118"/>
      <c r="K478" s="121"/>
      <c r="L478" s="12"/>
      <c r="M478" s="123"/>
      <c r="N478" s="123"/>
      <c r="O478" s="14"/>
      <c r="P478" s="14"/>
      <c r="Q478" s="120"/>
    </row>
    <row r="479" spans="1:17" ht="19.5" customHeight="1">
      <c r="A479" s="118"/>
      <c r="B479" s="121"/>
      <c r="C479" s="12"/>
      <c r="D479" s="123"/>
      <c r="E479" s="123"/>
      <c r="F479" s="14"/>
      <c r="G479" s="14"/>
      <c r="H479" s="120"/>
      <c r="J479" s="95"/>
      <c r="K479" s="39"/>
      <c r="L479" s="40"/>
      <c r="M479" s="135" t="s">
        <v>106</v>
      </c>
      <c r="N479" s="97"/>
      <c r="O479" s="41"/>
      <c r="P479" s="41"/>
      <c r="Q479" s="98"/>
    </row>
    <row r="480" spans="1:17" ht="17.25" customHeight="1">
      <c r="A480" s="95"/>
      <c r="B480" s="39"/>
      <c r="C480" s="40"/>
      <c r="D480" s="135" t="s">
        <v>106</v>
      </c>
      <c r="E480" s="97"/>
      <c r="F480" s="41"/>
      <c r="G480" s="41"/>
      <c r="H480" s="98"/>
      <c r="J480" s="99" t="s">
        <v>121</v>
      </c>
      <c r="K480" s="100" t="s">
        <v>5</v>
      </c>
      <c r="L480" s="100" t="s">
        <v>6</v>
      </c>
      <c r="M480" s="101" t="s">
        <v>7</v>
      </c>
      <c r="N480" s="100" t="s">
        <v>8</v>
      </c>
      <c r="O480" s="102" t="s">
        <v>9</v>
      </c>
      <c r="P480" s="102" t="s">
        <v>10</v>
      </c>
      <c r="Q480" s="99" t="s">
        <v>11</v>
      </c>
    </row>
    <row r="481" spans="1:17" ht="17.25" customHeight="1">
      <c r="A481" s="99" t="s">
        <v>121</v>
      </c>
      <c r="B481" s="100" t="s">
        <v>5</v>
      </c>
      <c r="C481" s="100" t="s">
        <v>6</v>
      </c>
      <c r="D481" s="101" t="s">
        <v>7</v>
      </c>
      <c r="E481" s="100" t="s">
        <v>8</v>
      </c>
      <c r="F481" s="102" t="s">
        <v>9</v>
      </c>
      <c r="G481" s="102" t="s">
        <v>10</v>
      </c>
      <c r="H481" s="99" t="s">
        <v>11</v>
      </c>
      <c r="J481" s="168"/>
      <c r="K481" s="163"/>
      <c r="L481" s="169"/>
      <c r="M481" s="170" t="s">
        <v>12</v>
      </c>
      <c r="N481" s="170" t="s">
        <v>13</v>
      </c>
      <c r="O481" s="127" t="s">
        <v>391</v>
      </c>
      <c r="P481" s="109" t="s">
        <v>391</v>
      </c>
      <c r="Q481" s="166" t="s">
        <v>15</v>
      </c>
    </row>
    <row r="482" spans="1:17" s="63" customFormat="1" ht="15">
      <c r="A482" s="168"/>
      <c r="B482" s="163"/>
      <c r="C482" s="169"/>
      <c r="D482" s="170" t="s">
        <v>12</v>
      </c>
      <c r="E482" s="170" t="s">
        <v>13</v>
      </c>
      <c r="F482" s="109" t="s">
        <v>14</v>
      </c>
      <c r="G482" s="109" t="s">
        <v>14</v>
      </c>
      <c r="H482" s="166" t="s">
        <v>15</v>
      </c>
      <c r="I482"/>
      <c r="J482" s="110">
        <v>1</v>
      </c>
      <c r="K482" s="23" t="s">
        <v>135</v>
      </c>
      <c r="L482" s="406"/>
      <c r="M482" s="407"/>
      <c r="N482" s="316">
        <v>9418500</v>
      </c>
      <c r="O482" s="317">
        <v>8052817500</v>
      </c>
      <c r="P482" s="318">
        <v>205689000</v>
      </c>
      <c r="Q482" s="22">
        <v>6240</v>
      </c>
    </row>
    <row r="483" spans="1:17" ht="17.25" customHeight="1">
      <c r="A483" s="110">
        <v>1</v>
      </c>
      <c r="B483" s="23" t="s">
        <v>135</v>
      </c>
      <c r="C483" s="23"/>
      <c r="D483" s="42"/>
      <c r="E483" s="43">
        <v>7220850</v>
      </c>
      <c r="F483" s="23">
        <v>4123105350</v>
      </c>
      <c r="G483" s="22">
        <v>75414915</v>
      </c>
      <c r="H483" s="22">
        <f>596*8</f>
        <v>4768</v>
      </c>
      <c r="J483" s="110">
        <v>2</v>
      </c>
      <c r="K483" s="23" t="s">
        <v>184</v>
      </c>
      <c r="L483" s="317">
        <v>1</v>
      </c>
      <c r="M483" s="320"/>
      <c r="N483" s="316">
        <v>195</v>
      </c>
      <c r="O483" s="317">
        <v>2925000</v>
      </c>
      <c r="P483" s="318">
        <v>131000</v>
      </c>
      <c r="Q483" s="22">
        <v>15</v>
      </c>
    </row>
    <row r="484" spans="1:17" ht="17.25" customHeight="1">
      <c r="A484" s="110">
        <v>2</v>
      </c>
      <c r="B484" s="23" t="s">
        <v>184</v>
      </c>
      <c r="C484" s="23">
        <v>1</v>
      </c>
      <c r="D484" s="42"/>
      <c r="E484" s="43">
        <v>197.68</v>
      </c>
      <c r="F484" s="23">
        <v>2969700</v>
      </c>
      <c r="G484" s="22">
        <v>175000</v>
      </c>
      <c r="H484" s="22">
        <v>15</v>
      </c>
      <c r="J484" s="111">
        <v>3</v>
      </c>
      <c r="K484" s="23" t="s">
        <v>128</v>
      </c>
      <c r="L484" s="334"/>
      <c r="M484" s="335"/>
      <c r="N484" s="335"/>
      <c r="O484" s="336"/>
      <c r="P484" s="318">
        <v>7810000</v>
      </c>
      <c r="Q484" s="175"/>
    </row>
    <row r="485" spans="1:17" ht="17.25" customHeight="1">
      <c r="A485" s="111">
        <v>3</v>
      </c>
      <c r="B485" s="23" t="s">
        <v>128</v>
      </c>
      <c r="C485" s="70"/>
      <c r="D485" s="81"/>
      <c r="E485" s="81"/>
      <c r="F485" s="72"/>
      <c r="G485" s="72">
        <v>6823954</v>
      </c>
      <c r="H485" s="175"/>
      <c r="J485" s="111">
        <v>4</v>
      </c>
      <c r="K485" s="23" t="s">
        <v>41</v>
      </c>
      <c r="L485" s="317"/>
      <c r="M485" s="320"/>
      <c r="N485" s="316"/>
      <c r="O485" s="317"/>
      <c r="P485" s="318">
        <v>5658000</v>
      </c>
      <c r="Q485" s="22"/>
    </row>
    <row r="486" spans="1:17" ht="17.25" customHeight="1">
      <c r="A486" s="111">
        <v>4</v>
      </c>
      <c r="B486" s="23" t="s">
        <v>41</v>
      </c>
      <c r="C486" s="23"/>
      <c r="D486" s="42"/>
      <c r="E486" s="43"/>
      <c r="F486" s="23"/>
      <c r="G486" s="22">
        <f>1263213+1140687</f>
        <v>2403900</v>
      </c>
      <c r="H486" s="22"/>
      <c r="J486" s="112"/>
      <c r="K486" s="113" t="s">
        <v>129</v>
      </c>
      <c r="L486" s="100">
        <f>SUM(L482:L483)</f>
        <v>1</v>
      </c>
      <c r="M486" s="101">
        <f>M482+M483+M484+M485</f>
        <v>0</v>
      </c>
      <c r="N486" s="102">
        <f>SUM(N482:N483)</f>
        <v>9418695</v>
      </c>
      <c r="O486" s="100">
        <f>SUM(O482:O483)</f>
        <v>8055742500</v>
      </c>
      <c r="P486" s="100">
        <f>SUM(P482:P485)</f>
        <v>219288000</v>
      </c>
      <c r="Q486" s="100">
        <f>SUM(Q482:Q483)</f>
        <v>6255</v>
      </c>
    </row>
    <row r="487" spans="1:17" ht="17.25" customHeight="1">
      <c r="A487" s="112"/>
      <c r="B487" s="113" t="s">
        <v>129</v>
      </c>
      <c r="C487" s="114">
        <f>SUM(C483:C484)</f>
        <v>1</v>
      </c>
      <c r="D487" s="115"/>
      <c r="E487" s="116">
        <f>SUM(E483:E484)</f>
        <v>7221047.68</v>
      </c>
      <c r="F487" s="116">
        <f>SUM(F483:F484)</f>
        <v>4126075050</v>
      </c>
      <c r="G487" s="116">
        <f>SUM(G483:G486)</f>
        <v>84817769</v>
      </c>
      <c r="H487" s="117">
        <f>SUM(H483:H484)</f>
        <v>4783</v>
      </c>
      <c r="J487" s="118"/>
      <c r="K487" s="121"/>
      <c r="L487" s="12"/>
      <c r="M487" s="123"/>
      <c r="N487" s="123"/>
      <c r="O487" s="14"/>
      <c r="P487" s="14"/>
      <c r="Q487" s="120"/>
    </row>
    <row r="488" spans="1:17" ht="18.75" customHeight="1">
      <c r="A488" s="118"/>
      <c r="B488" s="121"/>
      <c r="C488" s="12"/>
      <c r="D488" s="123"/>
      <c r="E488" s="123"/>
      <c r="F488" s="14"/>
      <c r="G488" s="14"/>
      <c r="H488" s="120"/>
      <c r="J488" s="95"/>
      <c r="K488" s="39"/>
      <c r="L488" s="40"/>
      <c r="M488" s="135" t="s">
        <v>105</v>
      </c>
      <c r="N488" s="97"/>
      <c r="O488" s="41"/>
      <c r="P488" s="41"/>
      <c r="Q488" s="98"/>
    </row>
    <row r="489" spans="1:17" ht="15.75">
      <c r="A489" s="95"/>
      <c r="B489" s="39"/>
      <c r="C489" s="40"/>
      <c r="D489" s="135" t="s">
        <v>105</v>
      </c>
      <c r="E489" s="97"/>
      <c r="F489" s="41"/>
      <c r="G489" s="41"/>
      <c r="H489" s="98"/>
      <c r="J489" s="99" t="s">
        <v>121</v>
      </c>
      <c r="K489" s="100" t="s">
        <v>5</v>
      </c>
      <c r="L489" s="100" t="s">
        <v>6</v>
      </c>
      <c r="M489" s="101" t="s">
        <v>7</v>
      </c>
      <c r="N489" s="100" t="s">
        <v>8</v>
      </c>
      <c r="O489" s="102" t="s">
        <v>9</v>
      </c>
      <c r="P489" s="102" t="s">
        <v>10</v>
      </c>
      <c r="Q489" s="99" t="s">
        <v>11</v>
      </c>
    </row>
    <row r="490" spans="1:17" ht="15.75">
      <c r="A490" s="99" t="s">
        <v>121</v>
      </c>
      <c r="B490" s="100" t="s">
        <v>5</v>
      </c>
      <c r="C490" s="100" t="s">
        <v>6</v>
      </c>
      <c r="D490" s="101" t="s">
        <v>7</v>
      </c>
      <c r="E490" s="100" t="s">
        <v>8</v>
      </c>
      <c r="F490" s="102" t="s">
        <v>9</v>
      </c>
      <c r="G490" s="102" t="s">
        <v>10</v>
      </c>
      <c r="H490" s="99" t="s">
        <v>11</v>
      </c>
      <c r="J490" s="103"/>
      <c r="K490" s="104"/>
      <c r="L490" s="105"/>
      <c r="M490" s="106" t="s">
        <v>12</v>
      </c>
      <c r="N490" s="218" t="s">
        <v>13</v>
      </c>
      <c r="O490" s="127" t="s">
        <v>391</v>
      </c>
      <c r="P490" s="109" t="s">
        <v>391</v>
      </c>
      <c r="Q490" s="108" t="s">
        <v>15</v>
      </c>
    </row>
    <row r="491" spans="1:17" ht="14.25" customHeight="1">
      <c r="A491" s="103"/>
      <c r="B491" s="104"/>
      <c r="C491" s="105"/>
      <c r="D491" s="106" t="s">
        <v>12</v>
      </c>
      <c r="E491" s="106" t="s">
        <v>13</v>
      </c>
      <c r="F491" s="109" t="s">
        <v>14</v>
      </c>
      <c r="G491" s="109" t="s">
        <v>14</v>
      </c>
      <c r="H491" s="108" t="s">
        <v>15</v>
      </c>
      <c r="J491" s="110">
        <v>1</v>
      </c>
      <c r="K491" s="16" t="s">
        <v>125</v>
      </c>
      <c r="L491" s="23">
        <v>171</v>
      </c>
      <c r="M491" s="337">
        <v>164.55</v>
      </c>
      <c r="N491" s="339">
        <v>1994882</v>
      </c>
      <c r="O491" s="339">
        <v>99744100</v>
      </c>
      <c r="P491" s="307">
        <v>7174000</v>
      </c>
      <c r="Q491" s="22">
        <v>320</v>
      </c>
    </row>
    <row r="492" spans="1:17" ht="15.75">
      <c r="A492" s="110">
        <v>1</v>
      </c>
      <c r="B492" s="16" t="s">
        <v>135</v>
      </c>
      <c r="C492" s="23"/>
      <c r="D492" s="31"/>
      <c r="E492" s="43">
        <v>88600</v>
      </c>
      <c r="F492" s="43">
        <v>88600000</v>
      </c>
      <c r="G492" s="23">
        <v>886000</v>
      </c>
      <c r="H492" s="22">
        <v>80</v>
      </c>
      <c r="J492" s="111">
        <f>+J491+1</f>
        <v>2</v>
      </c>
      <c r="K492" s="16" t="s">
        <v>183</v>
      </c>
      <c r="L492" s="23">
        <v>28</v>
      </c>
      <c r="M492" s="337">
        <v>30.21</v>
      </c>
      <c r="N492" s="339">
        <v>8950</v>
      </c>
      <c r="O492" s="324">
        <v>1790000</v>
      </c>
      <c r="P492" s="338">
        <v>358000</v>
      </c>
      <c r="Q492" s="22">
        <v>50</v>
      </c>
    </row>
    <row r="493" spans="1:17" ht="15.75">
      <c r="A493" s="111">
        <f>+A492+1</f>
        <v>2</v>
      </c>
      <c r="B493" s="16" t="s">
        <v>122</v>
      </c>
      <c r="C493" s="23">
        <v>2</v>
      </c>
      <c r="D493" s="31">
        <v>2</v>
      </c>
      <c r="E493" s="43"/>
      <c r="F493" s="43"/>
      <c r="G493" s="23">
        <v>0</v>
      </c>
      <c r="H493" s="22">
        <v>12</v>
      </c>
      <c r="J493" s="111">
        <f>+J492+1</f>
        <v>3</v>
      </c>
      <c r="K493" s="16" t="s">
        <v>122</v>
      </c>
      <c r="L493" s="23"/>
      <c r="M493" s="337"/>
      <c r="N493" s="340"/>
      <c r="O493" s="324"/>
      <c r="P493" s="307"/>
      <c r="Q493" s="22"/>
    </row>
    <row r="494" spans="1:17" ht="15.75">
      <c r="A494" s="111">
        <f>+A493+1</f>
        <v>3</v>
      </c>
      <c r="B494" s="16" t="s">
        <v>123</v>
      </c>
      <c r="C494" s="23"/>
      <c r="D494" s="31"/>
      <c r="E494" s="43">
        <v>15068768</v>
      </c>
      <c r="F494" s="43">
        <v>753438400</v>
      </c>
      <c r="G494" s="23">
        <v>195893984</v>
      </c>
      <c r="H494" s="22">
        <v>800</v>
      </c>
      <c r="J494" s="111">
        <f>+J493+1</f>
        <v>4</v>
      </c>
      <c r="K494" s="16" t="s">
        <v>135</v>
      </c>
      <c r="L494" s="23"/>
      <c r="M494" s="337"/>
      <c r="N494" s="339">
        <v>140555</v>
      </c>
      <c r="O494" s="324">
        <v>140555000</v>
      </c>
      <c r="P494" s="307">
        <v>2530000</v>
      </c>
      <c r="Q494" s="22">
        <v>120</v>
      </c>
    </row>
    <row r="495" spans="1:17" ht="15.75">
      <c r="A495" s="111">
        <f>+A494+1</f>
        <v>4</v>
      </c>
      <c r="B495" s="16" t="s">
        <v>137</v>
      </c>
      <c r="C495" s="23">
        <v>1</v>
      </c>
      <c r="D495" s="31">
        <v>1</v>
      </c>
      <c r="E495" s="43"/>
      <c r="F495" s="43"/>
      <c r="G495" s="23">
        <v>13000</v>
      </c>
      <c r="H495" s="22">
        <v>7</v>
      </c>
      <c r="J495" s="111">
        <f>+J494+1</f>
        <v>5</v>
      </c>
      <c r="K495" s="16" t="s">
        <v>127</v>
      </c>
      <c r="L495" s="23">
        <v>3</v>
      </c>
      <c r="M495" s="337">
        <v>2.65</v>
      </c>
      <c r="N495" s="339">
        <v>1200</v>
      </c>
      <c r="O495" s="339">
        <v>240000</v>
      </c>
      <c r="P495" s="307">
        <v>72000</v>
      </c>
      <c r="Q495" s="22">
        <v>5</v>
      </c>
    </row>
    <row r="496" spans="1:17" ht="15.75">
      <c r="A496" s="111">
        <f>+A495+1</f>
        <v>5</v>
      </c>
      <c r="B496" s="16" t="s">
        <v>124</v>
      </c>
      <c r="C496" s="23"/>
      <c r="D496" s="31"/>
      <c r="E496" s="43"/>
      <c r="F496" s="43"/>
      <c r="G496" s="23">
        <v>42000</v>
      </c>
      <c r="H496" s="22"/>
      <c r="J496" s="111">
        <f>+J495+1</f>
        <v>6</v>
      </c>
      <c r="K496" s="16" t="s">
        <v>123</v>
      </c>
      <c r="L496" s="23"/>
      <c r="M496" s="337"/>
      <c r="N496" s="339">
        <v>12620320</v>
      </c>
      <c r="O496" s="339">
        <v>631016000</v>
      </c>
      <c r="P496" s="307">
        <v>315508000</v>
      </c>
      <c r="Q496" s="22">
        <v>715</v>
      </c>
    </row>
    <row r="497" spans="1:17" ht="15.75">
      <c r="A497" s="111" t="e">
        <f>+#REF!+1</f>
        <v>#REF!</v>
      </c>
      <c r="B497" s="16" t="s">
        <v>127</v>
      </c>
      <c r="C497" s="23">
        <v>3</v>
      </c>
      <c r="D497" s="31">
        <v>2.65</v>
      </c>
      <c r="E497" s="42"/>
      <c r="F497" s="43"/>
      <c r="G497" s="23">
        <v>0</v>
      </c>
      <c r="H497" s="22"/>
      <c r="J497" s="111"/>
      <c r="K497" s="23" t="s">
        <v>128</v>
      </c>
      <c r="L497" s="185"/>
      <c r="M497" s="227"/>
      <c r="N497" s="329"/>
      <c r="O497" s="330"/>
      <c r="P497" s="185">
        <v>13139000</v>
      </c>
      <c r="Q497" s="188"/>
    </row>
    <row r="498" spans="1:17" ht="15.75">
      <c r="A498" s="111"/>
      <c r="B498" s="16"/>
      <c r="C498" s="185"/>
      <c r="D498" s="227"/>
      <c r="E498" s="186"/>
      <c r="F498" s="187"/>
      <c r="G498" s="185"/>
      <c r="H498" s="188"/>
      <c r="J498" s="111"/>
      <c r="K498" s="23" t="s">
        <v>41</v>
      </c>
      <c r="L498" s="185"/>
      <c r="M498" s="227"/>
      <c r="N498" s="186"/>
      <c r="O498" s="187"/>
      <c r="P498" s="185">
        <v>50133000</v>
      </c>
      <c r="Q498" s="188"/>
    </row>
    <row r="499" spans="1:17" ht="15.75">
      <c r="A499" s="111" t="e">
        <f>+A497+1</f>
        <v>#REF!</v>
      </c>
      <c r="B499" s="23" t="s">
        <v>41</v>
      </c>
      <c r="C499" s="185"/>
      <c r="D499" s="227"/>
      <c r="E499" s="186"/>
      <c r="F499" s="187"/>
      <c r="G499" s="185">
        <v>111016</v>
      </c>
      <c r="H499" s="188"/>
      <c r="J499" s="124"/>
      <c r="K499" s="158" t="s">
        <v>129</v>
      </c>
      <c r="L499" s="100">
        <f>SUM(L491:L496)</f>
        <v>202</v>
      </c>
      <c r="M499" s="101">
        <f>SUM(M491:M496)</f>
        <v>197.41000000000003</v>
      </c>
      <c r="N499" s="100">
        <f>SUM(N491:N496)</f>
        <v>14765907</v>
      </c>
      <c r="O499" s="100">
        <f>SUM(O491:O496)</f>
        <v>873345100</v>
      </c>
      <c r="P499" s="100">
        <f>SUM(P491:P498)</f>
        <v>388914000</v>
      </c>
      <c r="Q499" s="102">
        <f>SUM(Q491:Q498)</f>
        <v>1210</v>
      </c>
    </row>
    <row r="500" spans="1:17" ht="15.75">
      <c r="A500" s="124"/>
      <c r="B500" s="158" t="s">
        <v>129</v>
      </c>
      <c r="C500" s="159">
        <f>SUM(C492:C497)</f>
        <v>6</v>
      </c>
      <c r="D500" s="160">
        <f>SUM(D492:D497)</f>
        <v>5.65</v>
      </c>
      <c r="E500" s="159">
        <f>SUM(E492:E497)</f>
        <v>15157368</v>
      </c>
      <c r="F500" s="161">
        <f>SUM(F492:F497)</f>
        <v>842038400</v>
      </c>
      <c r="G500" s="161">
        <f>SUM(G492:G499)</f>
        <v>196946000</v>
      </c>
      <c r="H500" s="128">
        <f>SUM(H492:H497)</f>
        <v>899</v>
      </c>
      <c r="J500" s="152"/>
      <c r="K500" s="153"/>
      <c r="L500" s="154"/>
      <c r="M500" s="155"/>
      <c r="N500" s="155"/>
      <c r="O500" s="156"/>
      <c r="P500" s="156"/>
      <c r="Q500" s="157"/>
    </row>
    <row r="501" spans="1:17" ht="20.25" customHeight="1">
      <c r="A501" s="152"/>
      <c r="B501" s="153"/>
      <c r="C501" s="154"/>
      <c r="D501" s="155"/>
      <c r="E501" s="155"/>
      <c r="F501" s="156"/>
      <c r="G501" s="156"/>
      <c r="H501" s="157"/>
      <c r="J501" s="95"/>
      <c r="K501" s="39"/>
      <c r="L501" s="40"/>
      <c r="M501" s="135" t="s">
        <v>108</v>
      </c>
      <c r="N501" s="97"/>
      <c r="O501" s="41"/>
      <c r="P501" s="41"/>
      <c r="Q501" s="98"/>
    </row>
    <row r="502" spans="1:17" ht="15.75">
      <c r="A502" s="95"/>
      <c r="B502" s="39"/>
      <c r="C502" s="40"/>
      <c r="D502" s="135" t="s">
        <v>108</v>
      </c>
      <c r="E502" s="97"/>
      <c r="F502" s="41"/>
      <c r="G502" s="41"/>
      <c r="H502" s="98"/>
      <c r="J502" s="99" t="s">
        <v>121</v>
      </c>
      <c r="K502" s="100" t="s">
        <v>5</v>
      </c>
      <c r="L502" s="100" t="s">
        <v>6</v>
      </c>
      <c r="M502" s="101" t="s">
        <v>7</v>
      </c>
      <c r="N502" s="100" t="s">
        <v>8</v>
      </c>
      <c r="O502" s="102" t="s">
        <v>9</v>
      </c>
      <c r="P502" s="102" t="s">
        <v>10</v>
      </c>
      <c r="Q502" s="99" t="s">
        <v>11</v>
      </c>
    </row>
    <row r="503" spans="1:17" ht="15.75">
      <c r="A503" s="99" t="s">
        <v>121</v>
      </c>
      <c r="B503" s="100" t="s">
        <v>5</v>
      </c>
      <c r="C503" s="100" t="s">
        <v>6</v>
      </c>
      <c r="D503" s="101" t="s">
        <v>7</v>
      </c>
      <c r="E503" s="100" t="s">
        <v>8</v>
      </c>
      <c r="F503" s="102" t="s">
        <v>9</v>
      </c>
      <c r="G503" s="102" t="s">
        <v>10</v>
      </c>
      <c r="H503" s="99" t="s">
        <v>11</v>
      </c>
      <c r="J503" s="103"/>
      <c r="K503" s="104"/>
      <c r="L503" s="105"/>
      <c r="M503" s="106" t="s">
        <v>12</v>
      </c>
      <c r="N503" s="106" t="s">
        <v>13</v>
      </c>
      <c r="O503" s="127" t="s">
        <v>391</v>
      </c>
      <c r="P503" s="109" t="s">
        <v>391</v>
      </c>
      <c r="Q503" s="108" t="s">
        <v>15</v>
      </c>
    </row>
    <row r="504" spans="1:17" ht="15.75">
      <c r="A504" s="103"/>
      <c r="B504" s="104"/>
      <c r="C504" s="105"/>
      <c r="D504" s="106" t="s">
        <v>12</v>
      </c>
      <c r="E504" s="106" t="s">
        <v>13</v>
      </c>
      <c r="F504" s="109" t="s">
        <v>14</v>
      </c>
      <c r="G504" s="109" t="s">
        <v>14</v>
      </c>
      <c r="H504" s="108" t="s">
        <v>15</v>
      </c>
      <c r="J504" s="110">
        <v>1</v>
      </c>
      <c r="K504" s="16" t="s">
        <v>124</v>
      </c>
      <c r="L504" s="23">
        <v>92</v>
      </c>
      <c r="M504" s="16">
        <v>133.84</v>
      </c>
      <c r="N504" s="43">
        <v>224954</v>
      </c>
      <c r="O504" s="43">
        <v>269944800</v>
      </c>
      <c r="P504" s="23">
        <v>43866000</v>
      </c>
      <c r="Q504" s="22">
        <v>550</v>
      </c>
    </row>
    <row r="505" spans="1:17" ht="15.75">
      <c r="A505" s="110">
        <v>1</v>
      </c>
      <c r="B505" s="16" t="s">
        <v>123</v>
      </c>
      <c r="C505" s="23"/>
      <c r="D505" s="31"/>
      <c r="E505" s="43">
        <v>45245</v>
      </c>
      <c r="F505" s="43">
        <v>9049000</v>
      </c>
      <c r="G505" s="23">
        <v>24325000</v>
      </c>
      <c r="H505" s="22">
        <v>400</v>
      </c>
      <c r="J505" s="111">
        <f>+J504+1</f>
        <v>2</v>
      </c>
      <c r="K505" s="16" t="s">
        <v>122</v>
      </c>
      <c r="L505" s="23">
        <v>3</v>
      </c>
      <c r="M505" s="16">
        <v>3.25</v>
      </c>
      <c r="N505" s="43">
        <v>3966</v>
      </c>
      <c r="O505" s="43">
        <v>5949000</v>
      </c>
      <c r="P505" s="23">
        <v>694000</v>
      </c>
      <c r="Q505" s="22">
        <v>100</v>
      </c>
    </row>
    <row r="506" spans="1:17" ht="15.75">
      <c r="A506" s="111">
        <f>+A505+1</f>
        <v>2</v>
      </c>
      <c r="B506" s="16" t="s">
        <v>137</v>
      </c>
      <c r="C506" s="23">
        <v>13</v>
      </c>
      <c r="D506" s="31">
        <v>15.133</v>
      </c>
      <c r="E506" s="43">
        <v>25855</v>
      </c>
      <c r="F506" s="43">
        <v>5680100</v>
      </c>
      <c r="G506" s="23">
        <v>1422000</v>
      </c>
      <c r="H506" s="22">
        <v>60</v>
      </c>
      <c r="J506" s="111">
        <f>+J505+1</f>
        <v>3</v>
      </c>
      <c r="K506" s="16" t="s">
        <v>137</v>
      </c>
      <c r="L506" s="23">
        <v>10</v>
      </c>
      <c r="M506" s="16">
        <v>16.31</v>
      </c>
      <c r="N506" s="43">
        <v>379923</v>
      </c>
      <c r="O506" s="43">
        <v>208957650</v>
      </c>
      <c r="P506" s="23">
        <v>24695000</v>
      </c>
      <c r="Q506" s="22">
        <v>600</v>
      </c>
    </row>
    <row r="507" spans="1:17" ht="15.75">
      <c r="A507" s="111">
        <f aca="true" t="shared" si="63" ref="A507:A513">+A506+1</f>
        <v>3</v>
      </c>
      <c r="B507" s="16" t="s">
        <v>124</v>
      </c>
      <c r="C507" s="23">
        <v>88</v>
      </c>
      <c r="D507" s="31">
        <v>103.84</v>
      </c>
      <c r="E507" s="43">
        <v>11380</v>
      </c>
      <c r="F507" s="43">
        <f>E507*900</f>
        <v>10242000</v>
      </c>
      <c r="G507" s="23">
        <v>19688000</v>
      </c>
      <c r="H507" s="22">
        <v>435</v>
      </c>
      <c r="J507" s="111">
        <f>+J506+1</f>
        <v>4</v>
      </c>
      <c r="K507" s="16" t="s">
        <v>125</v>
      </c>
      <c r="L507" s="23">
        <v>154</v>
      </c>
      <c r="M507" s="16">
        <v>178.61</v>
      </c>
      <c r="N507" s="43">
        <v>888471</v>
      </c>
      <c r="O507" s="43">
        <v>266541300</v>
      </c>
      <c r="P507" s="23">
        <v>15104000</v>
      </c>
      <c r="Q507" s="22">
        <v>530</v>
      </c>
    </row>
    <row r="508" spans="1:17" ht="15.75">
      <c r="A508" s="111">
        <f t="shared" si="63"/>
        <v>4</v>
      </c>
      <c r="B508" s="16" t="s">
        <v>125</v>
      </c>
      <c r="C508" s="23">
        <v>130</v>
      </c>
      <c r="D508" s="31">
        <v>150.027</v>
      </c>
      <c r="E508" s="43">
        <v>1516101</v>
      </c>
      <c r="F508" s="43">
        <v>11526716</v>
      </c>
      <c r="G508" s="23">
        <v>13541000</v>
      </c>
      <c r="H508" s="22">
        <v>500</v>
      </c>
      <c r="J508" s="111">
        <f>+J507+1</f>
        <v>5</v>
      </c>
      <c r="K508" s="16" t="s">
        <v>176</v>
      </c>
      <c r="L508" s="23">
        <v>8</v>
      </c>
      <c r="M508" s="16">
        <v>14.5</v>
      </c>
      <c r="N508" s="43">
        <v>7962</v>
      </c>
      <c r="O508" s="43">
        <v>2547840</v>
      </c>
      <c r="P508" s="23">
        <v>207000</v>
      </c>
      <c r="Q508" s="22">
        <v>50</v>
      </c>
    </row>
    <row r="509" spans="1:17" ht="15.75">
      <c r="A509" s="111">
        <f t="shared" si="63"/>
        <v>5</v>
      </c>
      <c r="B509" s="16" t="s">
        <v>122</v>
      </c>
      <c r="C509" s="23">
        <v>1</v>
      </c>
      <c r="D509" s="31">
        <v>2.25</v>
      </c>
      <c r="E509" s="43">
        <v>50</v>
      </c>
      <c r="F509" s="43">
        <v>55000</v>
      </c>
      <c r="G509" s="23">
        <v>81000</v>
      </c>
      <c r="H509" s="22"/>
      <c r="J509" s="111">
        <f>+J508+1</f>
        <v>6</v>
      </c>
      <c r="K509" s="16" t="s">
        <v>123</v>
      </c>
      <c r="L509" s="23"/>
      <c r="M509" s="16"/>
      <c r="N509" s="43">
        <v>5740700</v>
      </c>
      <c r="O509" s="43">
        <v>1722210000</v>
      </c>
      <c r="P509" s="43">
        <v>57407000</v>
      </c>
      <c r="Q509" s="22">
        <v>670</v>
      </c>
    </row>
    <row r="510" spans="1:17" ht="15.75">
      <c r="A510" s="111">
        <f t="shared" si="63"/>
        <v>6</v>
      </c>
      <c r="B510" s="16" t="s">
        <v>162</v>
      </c>
      <c r="C510" s="23">
        <v>16</v>
      </c>
      <c r="D510" s="31">
        <v>18.88</v>
      </c>
      <c r="E510" s="43">
        <v>0</v>
      </c>
      <c r="F510" s="43">
        <v>0</v>
      </c>
      <c r="G510" s="23">
        <v>977000</v>
      </c>
      <c r="H510" s="22">
        <v>40</v>
      </c>
      <c r="J510" s="110">
        <v>7</v>
      </c>
      <c r="K510" s="16" t="s">
        <v>162</v>
      </c>
      <c r="L510" s="23">
        <v>18</v>
      </c>
      <c r="M510" s="16">
        <v>20.88</v>
      </c>
      <c r="N510" s="43">
        <v>72220</v>
      </c>
      <c r="O510" s="43">
        <v>86664000</v>
      </c>
      <c r="P510" s="23">
        <v>14083000</v>
      </c>
      <c r="Q510" s="22">
        <v>250</v>
      </c>
    </row>
    <row r="511" spans="1:17" ht="15.75">
      <c r="A511" s="111"/>
      <c r="B511" s="16"/>
      <c r="C511" s="23"/>
      <c r="D511" s="31"/>
      <c r="E511" s="43"/>
      <c r="F511" s="43"/>
      <c r="G511" s="23"/>
      <c r="H511" s="22"/>
      <c r="J511" s="111">
        <v>8</v>
      </c>
      <c r="K511" s="23" t="s">
        <v>128</v>
      </c>
      <c r="L511" s="23"/>
      <c r="M511" s="31"/>
      <c r="N511" s="42"/>
      <c r="O511" s="43"/>
      <c r="P511" s="23">
        <v>50176090</v>
      </c>
      <c r="Q511" s="22"/>
    </row>
    <row r="512" spans="1:17" ht="15">
      <c r="A512" s="111">
        <f>+A510+1</f>
        <v>7</v>
      </c>
      <c r="B512" s="23" t="s">
        <v>128</v>
      </c>
      <c r="C512" s="23"/>
      <c r="D512" s="31"/>
      <c r="E512" s="42"/>
      <c r="F512" s="43"/>
      <c r="G512" s="23">
        <v>4700000</v>
      </c>
      <c r="H512" s="22"/>
      <c r="J512" s="111">
        <v>9</v>
      </c>
      <c r="K512" s="23" t="s">
        <v>41</v>
      </c>
      <c r="L512" s="23"/>
      <c r="M512" s="31"/>
      <c r="N512" s="42"/>
      <c r="O512" s="43"/>
      <c r="P512" s="23">
        <v>33680050</v>
      </c>
      <c r="Q512" s="22"/>
    </row>
    <row r="513" spans="1:17" ht="15.75">
      <c r="A513" s="111">
        <f t="shared" si="63"/>
        <v>8</v>
      </c>
      <c r="B513" s="23" t="s">
        <v>41</v>
      </c>
      <c r="C513" s="23"/>
      <c r="D513" s="31"/>
      <c r="E513" s="42"/>
      <c r="F513" s="43"/>
      <c r="G513" s="23">
        <v>27837000</v>
      </c>
      <c r="H513" s="22"/>
      <c r="J513" s="112"/>
      <c r="K513" s="113" t="s">
        <v>129</v>
      </c>
      <c r="L513" s="100">
        <f>SUM(L504:L512)</f>
        <v>285</v>
      </c>
      <c r="M513" s="101">
        <f>SUM(M504:M512)</f>
        <v>367.39</v>
      </c>
      <c r="N513" s="100">
        <f>SUM(N504:N512)</f>
        <v>7318196</v>
      </c>
      <c r="O513" s="100">
        <f>SUM(O504:O512)</f>
        <v>2562814590</v>
      </c>
      <c r="P513" s="100">
        <f>SUM(P504:P512)</f>
        <v>239912140</v>
      </c>
      <c r="Q513" s="100">
        <f>SUM(Q504:Q510)</f>
        <v>2750</v>
      </c>
    </row>
    <row r="514" spans="1:17" ht="15.75" customHeight="1">
      <c r="A514" s="112"/>
      <c r="B514" s="113" t="s">
        <v>129</v>
      </c>
      <c r="C514" s="114">
        <f>SUM(C505:C513)</f>
        <v>248</v>
      </c>
      <c r="D514" s="115">
        <f>SUM(D505:D513)</f>
        <v>290.13</v>
      </c>
      <c r="E514" s="114">
        <f>SUM(E505:E513)</f>
        <v>1598631</v>
      </c>
      <c r="F514" s="114">
        <f>SUM(F505:F513)</f>
        <v>36552816</v>
      </c>
      <c r="G514" s="195">
        <f>SUM(G505:G513)</f>
        <v>92571000</v>
      </c>
      <c r="H514" s="117">
        <f>SUM(H505:H510)</f>
        <v>1435</v>
      </c>
      <c r="J514" s="111"/>
      <c r="K514" s="90"/>
      <c r="L514" s="28"/>
      <c r="M514" s="36"/>
      <c r="N514" s="36"/>
      <c r="O514" s="29"/>
      <c r="P514" s="29"/>
      <c r="Q514" s="175"/>
    </row>
    <row r="515" spans="1:17" ht="15.75" hidden="1">
      <c r="A515" s="111"/>
      <c r="B515" s="90"/>
      <c r="C515" s="28"/>
      <c r="D515" s="36"/>
      <c r="E515" s="36"/>
      <c r="F515" s="29"/>
      <c r="G515" s="29"/>
      <c r="H515" s="175"/>
      <c r="J515" s="111"/>
      <c r="K515" s="90"/>
      <c r="L515" s="28"/>
      <c r="M515" s="36"/>
      <c r="N515" s="36"/>
      <c r="O515" s="29"/>
      <c r="P515" s="29"/>
      <c r="Q515" s="175"/>
    </row>
    <row r="516" spans="1:17" s="233" customFormat="1" ht="20.25" customHeight="1">
      <c r="A516" s="228"/>
      <c r="B516" s="229" t="s">
        <v>185</v>
      </c>
      <c r="C516" s="230">
        <f>C59+C71+C87+C205+C216+C230+C268+C418+C326+C361+C431+C487+C500+C16+C31+C46+C110+C125+C97+C140+C149+C164+C183+C194+C243+C254+C283+C299+C313+C334+C345+C384+C397+C408+C448+C462+C478+C514</f>
        <v>9747</v>
      </c>
      <c r="D516" s="231">
        <f>D59+D71+D87+D205+D216+D230+D268+D418+D326+D361+D431+D487+D500+D16+D31+D46+D110+D125+D97+D140+D149+D164+D183+D194+D243+D254+D283+D299+D313+D334+D345+D384+D397+D408+D448+D462+D478+D514</f>
        <v>34281.62069999999</v>
      </c>
      <c r="E516" s="230">
        <f>E59+E71+E87+E205+E216+E230+E268+E418+E326+E361+E431+E487+E500+E16+E31+E46+E110+E125+E97+E140+E149+E164+E183+E194+E243+E254+E283+E299+E313+E334+E345+E384+E397+E408+E448+E462+E478+E514</f>
        <v>175707648.656</v>
      </c>
      <c r="F516" s="230">
        <f>F59+F71+F87+F205+F216+F230+F268+F418+F326+F361+F431+F487+F500+F16+F31+F46+F110+F125+F97+F140+F149+F164+F183+F194+F243+F254+F283+F299+F313+F334+F345+F384+F397+F408+F448+F462+F478+F514</f>
        <v>41149940867.83333</v>
      </c>
      <c r="G516" s="230">
        <f>G59+G71+G87+G205+G216+G230+G268+G418+G326+G361+G431+G487+G500+G16+G31+G46+G110+G125+G97+G140+G149+G164+G183+G194+G243+G254+G283+G299+G313+G334+G345+G384+G397+G408+G448+G462+G478+G514</f>
        <v>5309312415</v>
      </c>
      <c r="H516" s="230">
        <f>SUM(H31+H46+H16+H110+H125+H97+H71+H87+H140+H59+H149+H164+H183+H194+H205+H216+H230+H268+H243+H254+H283+H299+H313+H418+H326+H334+H345+H361+H384+H397+H408+H448+H462+H487+H478+H431+H500+H514)</f>
        <v>217935</v>
      </c>
      <c r="I516" s="232"/>
      <c r="J516" s="92"/>
      <c r="K516" s="2"/>
      <c r="L516" s="3"/>
      <c r="M516" s="93"/>
      <c r="N516" s="93"/>
      <c r="O516" s="5"/>
      <c r="P516" s="5"/>
      <c r="Q516" s="94"/>
    </row>
    <row r="517" spans="10:17" ht="27.75">
      <c r="J517" s="1148" t="s">
        <v>119</v>
      </c>
      <c r="K517" s="1148"/>
      <c r="L517" s="1148"/>
      <c r="M517" s="1148"/>
      <c r="N517" s="1148"/>
      <c r="O517" s="1148"/>
      <c r="P517" s="1148"/>
      <c r="Q517" s="1148"/>
    </row>
    <row r="518" spans="1:17" ht="25.5" customHeight="1">
      <c r="A518" s="1149" t="s">
        <v>0</v>
      </c>
      <c r="B518" s="1149"/>
      <c r="C518" s="1149"/>
      <c r="D518" s="1149"/>
      <c r="E518" s="1149"/>
      <c r="F518" s="1149"/>
      <c r="G518" s="1149"/>
      <c r="H518" s="1149"/>
      <c r="J518" s="1150" t="s">
        <v>186</v>
      </c>
      <c r="K518" s="1150"/>
      <c r="L518" s="1150"/>
      <c r="M518" s="1150"/>
      <c r="N518" s="1150"/>
      <c r="O518" s="1150"/>
      <c r="P518" s="1150"/>
      <c r="Q518" s="1150"/>
    </row>
    <row r="519" spans="1:17" ht="25.5" customHeight="1">
      <c r="A519" s="608"/>
      <c r="B519" s="608"/>
      <c r="C519" s="608"/>
      <c r="D519" s="608"/>
      <c r="E519" s="608"/>
      <c r="F519" s="608"/>
      <c r="G519" s="608"/>
      <c r="H519" s="608"/>
      <c r="J519" s="1142" t="s">
        <v>381</v>
      </c>
      <c r="K519" s="1142"/>
      <c r="L519" s="1142"/>
      <c r="M519" s="1142"/>
      <c r="N519" s="1142"/>
      <c r="O519" s="1142"/>
      <c r="P519" s="1142"/>
      <c r="Q519" s="1142"/>
    </row>
    <row r="520" spans="1:17" ht="19.5">
      <c r="A520" s="1141" t="s">
        <v>186</v>
      </c>
      <c r="B520" s="1141"/>
      <c r="C520" s="1141"/>
      <c r="D520" s="1141"/>
      <c r="E520" s="1141"/>
      <c r="F520" s="1141"/>
      <c r="G520" s="1141"/>
      <c r="H520" s="1141"/>
      <c r="J520" s="7"/>
      <c r="K520" s="7"/>
      <c r="L520" s="7"/>
      <c r="M520" s="7"/>
      <c r="N520" s="7"/>
      <c r="O520" s="7"/>
      <c r="P520" s="7"/>
      <c r="Q520" s="7"/>
    </row>
    <row r="521" spans="1:17" ht="16.5" customHeight="1">
      <c r="A521" s="1143" t="s">
        <v>116</v>
      </c>
      <c r="B521" s="1143"/>
      <c r="C521" s="1143"/>
      <c r="D521" s="1143"/>
      <c r="E521" s="1143"/>
      <c r="F521" s="1143"/>
      <c r="G521" s="1143"/>
      <c r="H521" s="1143"/>
      <c r="J521" s="1144" t="s">
        <v>4</v>
      </c>
      <c r="K521" s="1145" t="s">
        <v>114</v>
      </c>
      <c r="L521" s="234" t="s">
        <v>6</v>
      </c>
      <c r="M521" s="235" t="s">
        <v>7</v>
      </c>
      <c r="N521" s="236" t="s">
        <v>8</v>
      </c>
      <c r="O521" s="102" t="s">
        <v>9</v>
      </c>
      <c r="P521" s="102" t="s">
        <v>10</v>
      </c>
      <c r="Q521" s="237" t="s">
        <v>11</v>
      </c>
    </row>
    <row r="522" spans="1:17" s="139" customFormat="1" ht="15" customHeight="1">
      <c r="A522" s="1144" t="s">
        <v>4</v>
      </c>
      <c r="B522" s="1147" t="s">
        <v>5</v>
      </c>
      <c r="C522" s="234" t="s">
        <v>6</v>
      </c>
      <c r="D522" s="235" t="s">
        <v>7</v>
      </c>
      <c r="E522" s="236" t="s">
        <v>8</v>
      </c>
      <c r="F522" s="236" t="s">
        <v>9</v>
      </c>
      <c r="G522" s="236" t="s">
        <v>10</v>
      </c>
      <c r="H522" s="237" t="s">
        <v>11</v>
      </c>
      <c r="I522"/>
      <c r="J522" s="1144"/>
      <c r="K522" s="1146"/>
      <c r="L522" s="238" t="s">
        <v>115</v>
      </c>
      <c r="M522" s="239" t="s">
        <v>12</v>
      </c>
      <c r="N522" s="240" t="s">
        <v>13</v>
      </c>
      <c r="O522" s="127" t="s">
        <v>391</v>
      </c>
      <c r="P522" s="109" t="s">
        <v>391</v>
      </c>
      <c r="Q522" s="241" t="s">
        <v>15</v>
      </c>
    </row>
    <row r="523" spans="1:17" ht="15">
      <c r="A523" s="1144"/>
      <c r="B523" s="1147"/>
      <c r="C523" s="238" t="s">
        <v>115</v>
      </c>
      <c r="D523" s="239" t="s">
        <v>12</v>
      </c>
      <c r="E523" s="240" t="s">
        <v>13</v>
      </c>
      <c r="F523" s="177" t="s">
        <v>14</v>
      </c>
      <c r="G523" s="177" t="s">
        <v>14</v>
      </c>
      <c r="H523" s="241" t="s">
        <v>15</v>
      </c>
      <c r="J523" s="171">
        <v>1</v>
      </c>
      <c r="K523" s="242" t="s">
        <v>187</v>
      </c>
      <c r="L523" s="23">
        <f aca="true" t="shared" si="64" ref="L523:Q523">L16</f>
        <v>283</v>
      </c>
      <c r="M523" s="31">
        <f t="shared" si="64"/>
        <v>338.87969999999996</v>
      </c>
      <c r="N523" s="22">
        <f t="shared" si="64"/>
        <v>474999</v>
      </c>
      <c r="O523" s="23">
        <f t="shared" si="64"/>
        <v>304539000</v>
      </c>
      <c r="P523" s="23">
        <f t="shared" si="64"/>
        <v>137852000</v>
      </c>
      <c r="Q523" s="20">
        <f t="shared" si="64"/>
        <v>1415</v>
      </c>
    </row>
    <row r="524" spans="1:17" ht="15">
      <c r="A524" s="171">
        <v>3</v>
      </c>
      <c r="B524" s="242" t="s">
        <v>187</v>
      </c>
      <c r="C524" s="23">
        <f aca="true" t="shared" si="65" ref="C524:H524">C16</f>
        <v>269</v>
      </c>
      <c r="D524" s="31">
        <f t="shared" si="65"/>
        <v>306.05</v>
      </c>
      <c r="E524" s="22">
        <f t="shared" si="65"/>
        <v>215339</v>
      </c>
      <c r="F524" s="23">
        <f t="shared" si="65"/>
        <v>212310500</v>
      </c>
      <c r="G524" s="23">
        <f t="shared" si="65"/>
        <v>79081253</v>
      </c>
      <c r="H524" s="20">
        <f t="shared" si="65"/>
        <v>1320</v>
      </c>
      <c r="J524" s="171">
        <v>2</v>
      </c>
      <c r="K524" s="242" t="s">
        <v>188</v>
      </c>
      <c r="L524" s="185">
        <f aca="true" t="shared" si="66" ref="L524:Q524">L31</f>
        <v>422</v>
      </c>
      <c r="M524" s="227">
        <f t="shared" si="66"/>
        <v>521.4100000000001</v>
      </c>
      <c r="N524" s="188">
        <f t="shared" si="66"/>
        <v>9695530</v>
      </c>
      <c r="O524" s="185">
        <f t="shared" si="66"/>
        <v>3389961840</v>
      </c>
      <c r="P524" s="185">
        <f t="shared" si="66"/>
        <v>577756577</v>
      </c>
      <c r="Q524" s="221">
        <f t="shared" si="66"/>
        <v>19957</v>
      </c>
    </row>
    <row r="525" spans="1:17" ht="15">
      <c r="A525" s="243"/>
      <c r="B525" s="244"/>
      <c r="C525" s="245"/>
      <c r="D525" s="246"/>
      <c r="E525" s="247"/>
      <c r="F525" s="127"/>
      <c r="G525" s="127"/>
      <c r="H525" s="248"/>
      <c r="J525" s="111">
        <v>3</v>
      </c>
      <c r="K525" s="242" t="s">
        <v>189</v>
      </c>
      <c r="L525" s="23">
        <f aca="true" t="shared" si="67" ref="L525:Q525">L46</f>
        <v>279</v>
      </c>
      <c r="M525" s="31">
        <f t="shared" si="67"/>
        <v>340.1881</v>
      </c>
      <c r="N525" s="22">
        <f t="shared" si="67"/>
        <v>4307798</v>
      </c>
      <c r="O525" s="23">
        <f t="shared" si="67"/>
        <v>2583300000</v>
      </c>
      <c r="P525" s="23">
        <f t="shared" si="67"/>
        <v>297174895</v>
      </c>
      <c r="Q525" s="20">
        <f t="shared" si="67"/>
        <v>12692</v>
      </c>
    </row>
    <row r="526" spans="1:17" ht="15">
      <c r="A526" s="171">
        <v>1</v>
      </c>
      <c r="B526" s="242" t="s">
        <v>188</v>
      </c>
      <c r="C526" s="185">
        <f aca="true" t="shared" si="68" ref="C526:H526">C31</f>
        <v>259</v>
      </c>
      <c r="D526" s="227">
        <f t="shared" si="68"/>
        <v>292.91499999999996</v>
      </c>
      <c r="E526" s="188">
        <f t="shared" si="68"/>
        <v>4724957</v>
      </c>
      <c r="F526" s="185">
        <f t="shared" si="68"/>
        <v>1339183925</v>
      </c>
      <c r="G526" s="185">
        <f t="shared" si="68"/>
        <v>164914691</v>
      </c>
      <c r="H526" s="221">
        <f t="shared" si="68"/>
        <v>9878</v>
      </c>
      <c r="J526" s="171">
        <v>4</v>
      </c>
      <c r="K526" s="242" t="s">
        <v>138</v>
      </c>
      <c r="L526" s="23">
        <f aca="true" t="shared" si="69" ref="L526:Q526">L59</f>
        <v>73</v>
      </c>
      <c r="M526" s="31">
        <f t="shared" si="69"/>
        <v>98.99000000000001</v>
      </c>
      <c r="N526" s="22">
        <f t="shared" si="69"/>
        <v>1958333</v>
      </c>
      <c r="O526" s="23">
        <f t="shared" si="69"/>
        <v>1128637875</v>
      </c>
      <c r="P526" s="23">
        <f t="shared" si="69"/>
        <v>211918040</v>
      </c>
      <c r="Q526" s="20">
        <f t="shared" si="69"/>
        <v>16500</v>
      </c>
    </row>
    <row r="527" spans="1:17" ht="15">
      <c r="A527" s="111">
        <v>2</v>
      </c>
      <c r="B527" s="242" t="s">
        <v>189</v>
      </c>
      <c r="C527" s="23">
        <f aca="true" t="shared" si="70" ref="C527:H527">C46</f>
        <v>188</v>
      </c>
      <c r="D527" s="31">
        <f t="shared" si="70"/>
        <v>240.9103</v>
      </c>
      <c r="E527" s="22">
        <f t="shared" si="70"/>
        <v>4383256</v>
      </c>
      <c r="F527" s="23">
        <f t="shared" si="70"/>
        <v>1995849600</v>
      </c>
      <c r="G527" s="23">
        <f t="shared" si="70"/>
        <v>163066696</v>
      </c>
      <c r="H527" s="20">
        <f t="shared" si="70"/>
        <v>10861</v>
      </c>
      <c r="J527" s="171">
        <v>5</v>
      </c>
      <c r="K527" s="242" t="s">
        <v>37</v>
      </c>
      <c r="L527" s="23">
        <f aca="true" t="shared" si="71" ref="L527:Q527">L71</f>
        <v>126</v>
      </c>
      <c r="M527" s="31">
        <f t="shared" si="71"/>
        <v>169</v>
      </c>
      <c r="N527" s="22">
        <f t="shared" si="71"/>
        <v>1494128.28</v>
      </c>
      <c r="O527" s="23">
        <f t="shared" si="71"/>
        <v>149132885</v>
      </c>
      <c r="P527" s="23">
        <f t="shared" si="71"/>
        <v>238503000</v>
      </c>
      <c r="Q527" s="20">
        <f t="shared" si="71"/>
        <v>1180</v>
      </c>
    </row>
    <row r="528" spans="1:17" ht="15">
      <c r="A528" s="111">
        <v>4</v>
      </c>
      <c r="B528" s="242" t="s">
        <v>138</v>
      </c>
      <c r="C528" s="23">
        <f aca="true" t="shared" si="72" ref="C528:H528">C59</f>
        <v>64</v>
      </c>
      <c r="D528" s="31">
        <f t="shared" si="72"/>
        <v>60.391</v>
      </c>
      <c r="E528" s="22">
        <f t="shared" si="72"/>
        <v>11865105.4</v>
      </c>
      <c r="F528" s="23">
        <f t="shared" si="72"/>
        <v>1213013005</v>
      </c>
      <c r="G528" s="23">
        <f t="shared" si="72"/>
        <v>167833336</v>
      </c>
      <c r="H528" s="20">
        <f t="shared" si="72"/>
        <v>13604</v>
      </c>
      <c r="J528" s="111">
        <v>6</v>
      </c>
      <c r="K528" s="242" t="s">
        <v>42</v>
      </c>
      <c r="L528" s="23">
        <f aca="true" t="shared" si="73" ref="L528:Q528">L87</f>
        <v>419</v>
      </c>
      <c r="M528" s="31">
        <f t="shared" si="73"/>
        <v>645.3699999999999</v>
      </c>
      <c r="N528" s="22">
        <f t="shared" si="73"/>
        <v>8642953</v>
      </c>
      <c r="O528" s="23">
        <f t="shared" si="73"/>
        <v>1373946380</v>
      </c>
      <c r="P528" s="23">
        <f t="shared" si="73"/>
        <v>341980994</v>
      </c>
      <c r="Q528" s="20">
        <f t="shared" si="73"/>
        <v>6990</v>
      </c>
    </row>
    <row r="529" spans="1:17" ht="15">
      <c r="A529" s="171">
        <v>5</v>
      </c>
      <c r="B529" s="242" t="s">
        <v>37</v>
      </c>
      <c r="C529" s="23">
        <f aca="true" t="shared" si="74" ref="C529:H529">C71</f>
        <v>106</v>
      </c>
      <c r="D529" s="31">
        <f t="shared" si="74"/>
        <v>103.0507</v>
      </c>
      <c r="E529" s="22">
        <f t="shared" si="74"/>
        <v>271500</v>
      </c>
      <c r="F529" s="23">
        <f t="shared" si="74"/>
        <v>42690000</v>
      </c>
      <c r="G529" s="23">
        <f t="shared" si="74"/>
        <v>115236000</v>
      </c>
      <c r="H529" s="20">
        <f t="shared" si="74"/>
        <v>1200</v>
      </c>
      <c r="J529" s="171">
        <v>7</v>
      </c>
      <c r="K529" s="242" t="s">
        <v>190</v>
      </c>
      <c r="L529" s="23">
        <f aca="true" t="shared" si="75" ref="L529:Q529">L97</f>
        <v>2</v>
      </c>
      <c r="M529" s="31">
        <f t="shared" si="75"/>
        <v>2</v>
      </c>
      <c r="N529" s="22">
        <f t="shared" si="75"/>
        <v>3856654</v>
      </c>
      <c r="O529" s="23">
        <f t="shared" si="75"/>
        <v>2216288800</v>
      </c>
      <c r="P529" s="23">
        <f t="shared" si="75"/>
        <v>325835000</v>
      </c>
      <c r="Q529" s="20">
        <f t="shared" si="75"/>
        <v>12750</v>
      </c>
    </row>
    <row r="530" spans="1:17" ht="15">
      <c r="A530" s="111">
        <v>6</v>
      </c>
      <c r="B530" s="242" t="s">
        <v>42</v>
      </c>
      <c r="C530" s="185">
        <f aca="true" t="shared" si="76" ref="C530:H530">C87</f>
        <v>370</v>
      </c>
      <c r="D530" s="227">
        <f t="shared" si="76"/>
        <v>579.35</v>
      </c>
      <c r="E530" s="188">
        <f t="shared" si="76"/>
        <v>5535389</v>
      </c>
      <c r="F530" s="185">
        <f t="shared" si="76"/>
        <v>936910338</v>
      </c>
      <c r="G530" s="185">
        <f t="shared" si="76"/>
        <v>104178117</v>
      </c>
      <c r="H530" s="221">
        <f t="shared" si="76"/>
        <v>4175</v>
      </c>
      <c r="J530" s="171">
        <v>8</v>
      </c>
      <c r="K530" s="242" t="s">
        <v>191</v>
      </c>
      <c r="L530" s="23">
        <f aca="true" t="shared" si="77" ref="L530:Q530">L110</f>
        <v>740</v>
      </c>
      <c r="M530" s="31">
        <f t="shared" si="77"/>
        <v>2416.12</v>
      </c>
      <c r="N530" s="22">
        <f t="shared" si="77"/>
        <v>18050179.009999998</v>
      </c>
      <c r="O530" s="23">
        <f t="shared" si="77"/>
        <v>2096049737</v>
      </c>
      <c r="P530" s="23">
        <f t="shared" si="77"/>
        <v>447822294</v>
      </c>
      <c r="Q530" s="20">
        <f t="shared" si="77"/>
        <v>8178</v>
      </c>
    </row>
    <row r="531" spans="1:17" ht="15">
      <c r="A531" s="171">
        <v>7</v>
      </c>
      <c r="B531" s="242" t="s">
        <v>190</v>
      </c>
      <c r="C531" s="185">
        <f aca="true" t="shared" si="78" ref="C531:H531">C97</f>
        <v>2</v>
      </c>
      <c r="D531" s="227">
        <f t="shared" si="78"/>
        <v>2</v>
      </c>
      <c r="E531" s="188">
        <f t="shared" si="78"/>
        <v>5685922</v>
      </c>
      <c r="F531" s="185">
        <f t="shared" si="78"/>
        <v>1816049450</v>
      </c>
      <c r="G531" s="185">
        <f t="shared" si="78"/>
        <v>172797317</v>
      </c>
      <c r="H531" s="221">
        <f t="shared" si="78"/>
        <v>11744</v>
      </c>
      <c r="J531" s="111">
        <v>9</v>
      </c>
      <c r="K531" s="242" t="s">
        <v>192</v>
      </c>
      <c r="L531" s="23">
        <f aca="true" t="shared" si="79" ref="L531:Q531">L125</f>
        <v>262</v>
      </c>
      <c r="M531" s="31">
        <f t="shared" si="79"/>
        <v>422.21500000000003</v>
      </c>
      <c r="N531" s="22">
        <f t="shared" si="79"/>
        <v>21611346</v>
      </c>
      <c r="O531" s="23">
        <f t="shared" si="79"/>
        <v>2552526100</v>
      </c>
      <c r="P531" s="23">
        <f t="shared" si="79"/>
        <v>326410954</v>
      </c>
      <c r="Q531" s="20">
        <f t="shared" si="79"/>
        <v>7004</v>
      </c>
    </row>
    <row r="532" spans="1:17" ht="15">
      <c r="A532" s="111">
        <v>8</v>
      </c>
      <c r="B532" s="242" t="s">
        <v>191</v>
      </c>
      <c r="C532" s="185">
        <f aca="true" t="shared" si="80" ref="C532:H532">C110</f>
        <v>486</v>
      </c>
      <c r="D532" s="31">
        <f t="shared" si="80"/>
        <v>3108.234</v>
      </c>
      <c r="E532" s="188">
        <f t="shared" si="80"/>
        <v>6797136.0200000005</v>
      </c>
      <c r="F532" s="185">
        <f t="shared" si="80"/>
        <v>769293380</v>
      </c>
      <c r="G532" s="185">
        <f t="shared" si="80"/>
        <v>99275917</v>
      </c>
      <c r="H532" s="221">
        <f t="shared" si="80"/>
        <v>12314</v>
      </c>
      <c r="J532" s="171">
        <v>10</v>
      </c>
      <c r="K532" s="242" t="s">
        <v>193</v>
      </c>
      <c r="L532" s="23">
        <f aca="true" t="shared" si="81" ref="L532:Q532">L140</f>
        <v>298</v>
      </c>
      <c r="M532" s="31">
        <f t="shared" si="81"/>
        <v>685.9704</v>
      </c>
      <c r="N532" s="22">
        <f t="shared" si="81"/>
        <v>12499063</v>
      </c>
      <c r="O532" s="23">
        <f t="shared" si="81"/>
        <v>2452715850</v>
      </c>
      <c r="P532" s="23">
        <f t="shared" si="81"/>
        <v>272776542</v>
      </c>
      <c r="Q532" s="20">
        <f t="shared" si="81"/>
        <v>2658</v>
      </c>
    </row>
    <row r="533" spans="1:17" ht="15">
      <c r="A533" s="171">
        <v>9</v>
      </c>
      <c r="B533" s="242" t="s">
        <v>192</v>
      </c>
      <c r="C533" s="22">
        <f aca="true" t="shared" si="82" ref="C533:H533">C125</f>
        <v>171</v>
      </c>
      <c r="D533" s="31">
        <f t="shared" si="82"/>
        <v>258.016</v>
      </c>
      <c r="E533" s="22">
        <f t="shared" si="82"/>
        <v>5610311</v>
      </c>
      <c r="F533" s="22">
        <f t="shared" si="82"/>
        <v>842561950</v>
      </c>
      <c r="G533" s="22">
        <f t="shared" si="82"/>
        <v>84675837</v>
      </c>
      <c r="H533" s="46">
        <f t="shared" si="82"/>
        <v>3450</v>
      </c>
      <c r="J533" s="171">
        <v>11</v>
      </c>
      <c r="K533" s="242" t="s">
        <v>194</v>
      </c>
      <c r="L533" s="23">
        <f aca="true" t="shared" si="83" ref="L533:Q533">L149</f>
        <v>373</v>
      </c>
      <c r="M533" s="31">
        <f t="shared" si="83"/>
        <v>1186.3818</v>
      </c>
      <c r="N533" s="22">
        <f t="shared" si="83"/>
        <v>2068896</v>
      </c>
      <c r="O533" s="23">
        <f t="shared" si="83"/>
        <v>2205000000</v>
      </c>
      <c r="P533" s="23">
        <f t="shared" si="83"/>
        <v>224543000</v>
      </c>
      <c r="Q533" s="20">
        <f t="shared" si="83"/>
        <v>3730</v>
      </c>
    </row>
    <row r="534" spans="1:17" ht="15">
      <c r="A534" s="111">
        <v>10</v>
      </c>
      <c r="B534" s="242" t="s">
        <v>193</v>
      </c>
      <c r="C534" s="22">
        <f aca="true" t="shared" si="84" ref="C534:H534">C140</f>
        <v>233</v>
      </c>
      <c r="D534" s="31">
        <f t="shared" si="84"/>
        <v>1639.1445999999999</v>
      </c>
      <c r="E534" s="22">
        <f t="shared" si="84"/>
        <v>8862572</v>
      </c>
      <c r="F534" s="22">
        <f t="shared" si="84"/>
        <v>1262593530</v>
      </c>
      <c r="G534" s="22">
        <f t="shared" si="84"/>
        <v>126368300</v>
      </c>
      <c r="H534" s="46">
        <f t="shared" si="84"/>
        <v>2908</v>
      </c>
      <c r="J534" s="111">
        <v>12</v>
      </c>
      <c r="K534" s="242" t="s">
        <v>195</v>
      </c>
      <c r="L534" s="23">
        <f aca="true" t="shared" si="85" ref="L534:Q534">L164</f>
        <v>588</v>
      </c>
      <c r="M534" s="31">
        <f t="shared" si="85"/>
        <v>981.3367999999999</v>
      </c>
      <c r="N534" s="22">
        <f t="shared" si="85"/>
        <v>901420</v>
      </c>
      <c r="O534" s="23">
        <f t="shared" si="85"/>
        <v>238826690</v>
      </c>
      <c r="P534" s="23">
        <f t="shared" si="85"/>
        <v>112499275</v>
      </c>
      <c r="Q534" s="20">
        <f t="shared" si="85"/>
        <v>8221</v>
      </c>
    </row>
    <row r="535" spans="1:17" ht="15">
      <c r="A535" s="171">
        <v>11</v>
      </c>
      <c r="B535" s="242" t="s">
        <v>194</v>
      </c>
      <c r="C535" s="22">
        <f aca="true" t="shared" si="86" ref="C535:H535">C149</f>
        <v>356</v>
      </c>
      <c r="D535" s="31">
        <f t="shared" si="86"/>
        <v>1124.9236</v>
      </c>
      <c r="E535" s="22">
        <f t="shared" si="86"/>
        <v>2260480</v>
      </c>
      <c r="F535" s="22">
        <f t="shared" si="86"/>
        <v>1236168000</v>
      </c>
      <c r="G535" s="22">
        <f t="shared" si="86"/>
        <v>102626000</v>
      </c>
      <c r="H535" s="46">
        <f t="shared" si="86"/>
        <v>3560</v>
      </c>
      <c r="J535" s="171">
        <v>13</v>
      </c>
      <c r="K535" s="242" t="s">
        <v>196</v>
      </c>
      <c r="L535" s="23">
        <f aca="true" t="shared" si="87" ref="L535:Q535">L183</f>
        <v>26</v>
      </c>
      <c r="M535" s="31">
        <f t="shared" si="87"/>
        <v>35.3405</v>
      </c>
      <c r="N535" s="22">
        <f t="shared" si="87"/>
        <v>3151612</v>
      </c>
      <c r="O535" s="23">
        <f t="shared" si="87"/>
        <v>458230430</v>
      </c>
      <c r="P535" s="23">
        <f t="shared" si="87"/>
        <v>90870279</v>
      </c>
      <c r="Q535" s="20">
        <f t="shared" si="87"/>
        <v>2470</v>
      </c>
    </row>
    <row r="536" spans="1:17" ht="15">
      <c r="A536" s="111">
        <v>12</v>
      </c>
      <c r="B536" s="242" t="s">
        <v>195</v>
      </c>
      <c r="C536" s="20">
        <f aca="true" t="shared" si="88" ref="C536:H536">C164</f>
        <v>567</v>
      </c>
      <c r="D536" s="32">
        <f t="shared" si="88"/>
        <v>842.1279</v>
      </c>
      <c r="E536" s="46">
        <f t="shared" si="88"/>
        <v>769204</v>
      </c>
      <c r="F536" s="20">
        <f t="shared" si="88"/>
        <v>186878147</v>
      </c>
      <c r="G536" s="20">
        <f t="shared" si="88"/>
        <v>73037688</v>
      </c>
      <c r="H536" s="20">
        <f t="shared" si="88"/>
        <v>9391</v>
      </c>
      <c r="J536" s="171">
        <v>14</v>
      </c>
      <c r="K536" s="242" t="s">
        <v>197</v>
      </c>
      <c r="L536" s="23">
        <f aca="true" t="shared" si="89" ref="L536:Q536">L194</f>
        <v>155</v>
      </c>
      <c r="M536" s="31">
        <f t="shared" si="89"/>
        <v>2284.32</v>
      </c>
      <c r="N536" s="22">
        <f t="shared" si="89"/>
        <v>1111806</v>
      </c>
      <c r="O536" s="23">
        <f t="shared" si="89"/>
        <v>579169800</v>
      </c>
      <c r="P536" s="23">
        <f t="shared" si="89"/>
        <v>188139000</v>
      </c>
      <c r="Q536" s="20">
        <f t="shared" si="89"/>
        <v>1620</v>
      </c>
    </row>
    <row r="537" spans="1:17" ht="15">
      <c r="A537" s="171">
        <v>13</v>
      </c>
      <c r="B537" s="242" t="s">
        <v>196</v>
      </c>
      <c r="C537" s="185">
        <f aca="true" t="shared" si="90" ref="C537:H537">C183</f>
        <v>24</v>
      </c>
      <c r="D537" s="227">
        <f t="shared" si="90"/>
        <v>33.344</v>
      </c>
      <c r="E537" s="188">
        <f t="shared" si="90"/>
        <v>4607525</v>
      </c>
      <c r="F537" s="185">
        <f t="shared" si="90"/>
        <v>335898140</v>
      </c>
      <c r="G537" s="185">
        <f t="shared" si="90"/>
        <v>64325936</v>
      </c>
      <c r="H537" s="221">
        <f t="shared" si="90"/>
        <v>2660</v>
      </c>
      <c r="J537" s="111">
        <v>15</v>
      </c>
      <c r="K537" s="242" t="s">
        <v>69</v>
      </c>
      <c r="L537" s="23">
        <f aca="true" t="shared" si="91" ref="L537:Q537">L205</f>
        <v>112</v>
      </c>
      <c r="M537" s="31">
        <f t="shared" si="91"/>
        <v>129.04000000000002</v>
      </c>
      <c r="N537" s="22">
        <f t="shared" si="91"/>
        <v>675142</v>
      </c>
      <c r="O537" s="23">
        <f t="shared" si="91"/>
        <v>694179850</v>
      </c>
      <c r="P537" s="23">
        <f t="shared" si="91"/>
        <v>131495625</v>
      </c>
      <c r="Q537" s="20">
        <f t="shared" si="91"/>
        <v>1250</v>
      </c>
    </row>
    <row r="538" spans="1:17" ht="15">
      <c r="A538" s="111">
        <v>14</v>
      </c>
      <c r="B538" s="242" t="s">
        <v>197</v>
      </c>
      <c r="C538" s="185">
        <f aca="true" t="shared" si="92" ref="C538:H538">C194</f>
        <v>169</v>
      </c>
      <c r="D538" s="227">
        <f t="shared" si="92"/>
        <v>3520.5341999999996</v>
      </c>
      <c r="E538" s="188">
        <f t="shared" si="92"/>
        <v>752660</v>
      </c>
      <c r="F538" s="185">
        <f t="shared" si="92"/>
        <v>406482550</v>
      </c>
      <c r="G538" s="185">
        <f t="shared" si="92"/>
        <v>57840000</v>
      </c>
      <c r="H538" s="221">
        <f t="shared" si="92"/>
        <v>1404</v>
      </c>
      <c r="J538" s="171">
        <v>16</v>
      </c>
      <c r="K538" s="242" t="s">
        <v>71</v>
      </c>
      <c r="L538" s="23">
        <f aca="true" t="shared" si="93" ref="L538:Q538">L216</f>
        <v>151</v>
      </c>
      <c r="M538" s="31">
        <f t="shared" si="93"/>
        <v>6033.48</v>
      </c>
      <c r="N538" s="22">
        <f t="shared" si="93"/>
        <v>3562602</v>
      </c>
      <c r="O538" s="23">
        <f t="shared" si="93"/>
        <v>415283031</v>
      </c>
      <c r="P538" s="23">
        <f t="shared" si="93"/>
        <v>160849323</v>
      </c>
      <c r="Q538" s="20">
        <f t="shared" si="93"/>
        <v>1657</v>
      </c>
    </row>
    <row r="539" spans="1:17" ht="15">
      <c r="A539" s="171">
        <v>15</v>
      </c>
      <c r="B539" s="242" t="s">
        <v>69</v>
      </c>
      <c r="C539" s="185">
        <f aca="true" t="shared" si="94" ref="C539:H539">C205</f>
        <v>131</v>
      </c>
      <c r="D539" s="227">
        <f t="shared" si="94"/>
        <v>138.257</v>
      </c>
      <c r="E539" s="188">
        <f t="shared" si="94"/>
        <v>538509.47</v>
      </c>
      <c r="F539" s="185">
        <f t="shared" si="94"/>
        <v>80957822</v>
      </c>
      <c r="G539" s="185">
        <f t="shared" si="94"/>
        <v>65662016</v>
      </c>
      <c r="H539" s="221">
        <f t="shared" si="94"/>
        <v>1800</v>
      </c>
      <c r="J539" s="171">
        <v>17</v>
      </c>
      <c r="K539" s="242" t="s">
        <v>75</v>
      </c>
      <c r="L539" s="380">
        <f aca="true" t="shared" si="95" ref="L539:Q539">L230</f>
        <v>667</v>
      </c>
      <c r="M539" s="389">
        <f t="shared" si="95"/>
        <v>1041.81</v>
      </c>
      <c r="N539" s="319">
        <f t="shared" si="95"/>
        <v>2151918</v>
      </c>
      <c r="O539" s="380">
        <f t="shared" si="95"/>
        <v>1246913330</v>
      </c>
      <c r="P539" s="380">
        <f t="shared" si="95"/>
        <v>155324252</v>
      </c>
      <c r="Q539" s="390">
        <f t="shared" si="95"/>
        <v>3465</v>
      </c>
    </row>
    <row r="540" spans="1:17" ht="15">
      <c r="A540" s="111">
        <v>16</v>
      </c>
      <c r="B540" s="242" t="s">
        <v>71</v>
      </c>
      <c r="C540" s="185">
        <f aca="true" t="shared" si="96" ref="C540:H540">C216</f>
        <v>118</v>
      </c>
      <c r="D540" s="227">
        <f t="shared" si="96"/>
        <v>5971.48</v>
      </c>
      <c r="E540" s="188">
        <f t="shared" si="96"/>
        <v>2415257.1799999997</v>
      </c>
      <c r="F540" s="188">
        <f t="shared" si="96"/>
        <v>388165477.79999995</v>
      </c>
      <c r="G540" s="185">
        <f t="shared" si="96"/>
        <v>107952873</v>
      </c>
      <c r="H540" s="221">
        <f t="shared" si="96"/>
        <v>1340</v>
      </c>
      <c r="J540" s="111">
        <v>18</v>
      </c>
      <c r="K540" s="242" t="s">
        <v>198</v>
      </c>
      <c r="L540" s="380">
        <f aca="true" t="shared" si="97" ref="L540:Q540">L243</f>
        <v>919</v>
      </c>
      <c r="M540" s="389">
        <f t="shared" si="97"/>
        <v>1077.7838000000002</v>
      </c>
      <c r="N540" s="319">
        <f t="shared" si="97"/>
        <v>22231700</v>
      </c>
      <c r="O540" s="380">
        <f t="shared" si="97"/>
        <v>2986810000</v>
      </c>
      <c r="P540" s="380">
        <f t="shared" si="97"/>
        <v>637412000</v>
      </c>
      <c r="Q540" s="390">
        <f t="shared" si="97"/>
        <v>23084</v>
      </c>
    </row>
    <row r="541" spans="1:17" ht="15">
      <c r="A541" s="171">
        <v>17</v>
      </c>
      <c r="B541" s="242" t="s">
        <v>75</v>
      </c>
      <c r="C541" s="185">
        <f aca="true" t="shared" si="98" ref="C541:H541">C230</f>
        <v>585</v>
      </c>
      <c r="D541" s="227">
        <f t="shared" si="98"/>
        <v>936.0699999999998</v>
      </c>
      <c r="E541" s="188">
        <f t="shared" si="98"/>
        <v>2111289</v>
      </c>
      <c r="F541" s="185">
        <f t="shared" si="98"/>
        <v>485519488</v>
      </c>
      <c r="G541" s="185">
        <f t="shared" si="98"/>
        <v>85129067</v>
      </c>
      <c r="H541" s="221">
        <f t="shared" si="98"/>
        <v>3519</v>
      </c>
      <c r="J541" s="171">
        <v>19</v>
      </c>
      <c r="K541" s="242" t="s">
        <v>199</v>
      </c>
      <c r="L541" s="292">
        <f aca="true" t="shared" si="99" ref="L541:Q541">L254</f>
        <v>589</v>
      </c>
      <c r="M541" s="290">
        <f t="shared" si="99"/>
        <v>925.0899999999999</v>
      </c>
      <c r="N541" s="291">
        <f t="shared" si="99"/>
        <v>50681302</v>
      </c>
      <c r="O541" s="292">
        <f t="shared" si="99"/>
        <v>3561475200</v>
      </c>
      <c r="P541" s="292">
        <f t="shared" si="99"/>
        <v>316155000</v>
      </c>
      <c r="Q541" s="282">
        <f t="shared" si="99"/>
        <v>5409</v>
      </c>
    </row>
    <row r="542" spans="1:17" ht="15">
      <c r="A542" s="111">
        <v>18</v>
      </c>
      <c r="B542" s="242" t="s">
        <v>198</v>
      </c>
      <c r="C542" s="22">
        <f aca="true" t="shared" si="100" ref="C542:H542">C243</f>
        <v>869</v>
      </c>
      <c r="D542" s="31">
        <f t="shared" si="100"/>
        <v>1024.8883</v>
      </c>
      <c r="E542" s="22">
        <f t="shared" si="100"/>
        <v>11433983</v>
      </c>
      <c r="F542" s="22">
        <f t="shared" si="100"/>
        <v>1537477350</v>
      </c>
      <c r="G542" s="22">
        <f t="shared" si="100"/>
        <v>274246000</v>
      </c>
      <c r="H542" s="46">
        <f t="shared" si="100"/>
        <v>12195</v>
      </c>
      <c r="J542" s="171">
        <v>20</v>
      </c>
      <c r="K542" s="242" t="s">
        <v>163</v>
      </c>
      <c r="L542" s="380">
        <f aca="true" t="shared" si="101" ref="L542:Q542">L268</f>
        <v>152</v>
      </c>
      <c r="M542" s="389">
        <f t="shared" si="101"/>
        <v>385.51</v>
      </c>
      <c r="N542" s="319">
        <f t="shared" si="101"/>
        <v>7477299</v>
      </c>
      <c r="O542" s="380">
        <f t="shared" si="101"/>
        <v>2591720400</v>
      </c>
      <c r="P542" s="380">
        <f t="shared" si="101"/>
        <v>138084462</v>
      </c>
      <c r="Q542" s="390">
        <f t="shared" si="101"/>
        <v>5459</v>
      </c>
    </row>
    <row r="543" spans="1:17" ht="15">
      <c r="A543" s="171">
        <v>19</v>
      </c>
      <c r="B543" s="242" t="s">
        <v>199</v>
      </c>
      <c r="C543" s="185">
        <f aca="true" t="shared" si="102" ref="C543:H543">C254</f>
        <v>529</v>
      </c>
      <c r="D543" s="227">
        <f t="shared" si="102"/>
        <v>870.0899999999999</v>
      </c>
      <c r="E543" s="188">
        <f t="shared" si="102"/>
        <v>109470</v>
      </c>
      <c r="F543" s="185">
        <f t="shared" si="102"/>
        <v>71936000</v>
      </c>
      <c r="G543" s="185">
        <f t="shared" si="102"/>
        <v>95741500</v>
      </c>
      <c r="H543" s="221">
        <f t="shared" si="102"/>
        <v>2830</v>
      </c>
      <c r="J543" s="111">
        <v>21</v>
      </c>
      <c r="K543" s="242" t="s">
        <v>200</v>
      </c>
      <c r="L543" s="380">
        <f aca="true" t="shared" si="103" ref="L543:Q543">L283</f>
        <v>423</v>
      </c>
      <c r="M543" s="389">
        <f t="shared" si="103"/>
        <v>1677.6799999999998</v>
      </c>
      <c r="N543" s="319">
        <f t="shared" si="103"/>
        <v>13125207</v>
      </c>
      <c r="O543" s="380">
        <f t="shared" si="103"/>
        <v>1958882470</v>
      </c>
      <c r="P543" s="380">
        <f t="shared" si="103"/>
        <v>822425000</v>
      </c>
      <c r="Q543" s="390">
        <f t="shared" si="103"/>
        <v>33766</v>
      </c>
    </row>
    <row r="544" spans="1:17" ht="15">
      <c r="A544" s="111">
        <v>20</v>
      </c>
      <c r="B544" s="242" t="s">
        <v>163</v>
      </c>
      <c r="C544" s="23">
        <f aca="true" t="shared" si="104" ref="C544:H544">C268</f>
        <v>139</v>
      </c>
      <c r="D544" s="31">
        <f t="shared" si="104"/>
        <v>344.15</v>
      </c>
      <c r="E544" s="22">
        <f t="shared" si="104"/>
        <v>4986044</v>
      </c>
      <c r="F544" s="23">
        <f t="shared" si="104"/>
        <v>954242830</v>
      </c>
      <c r="G544" s="23">
        <f t="shared" si="104"/>
        <v>68779612</v>
      </c>
      <c r="H544" s="20">
        <f t="shared" si="104"/>
        <v>4965</v>
      </c>
      <c r="J544" s="171">
        <v>22</v>
      </c>
      <c r="K544" s="242" t="s">
        <v>201</v>
      </c>
      <c r="L544" s="380">
        <f aca="true" t="shared" si="105" ref="L544:Q544">L299</f>
        <v>254</v>
      </c>
      <c r="M544" s="389">
        <f t="shared" si="105"/>
        <v>6684.406400000001</v>
      </c>
      <c r="N544" s="319">
        <f t="shared" si="105"/>
        <v>5061933</v>
      </c>
      <c r="O544" s="380">
        <f t="shared" si="105"/>
        <v>954275750</v>
      </c>
      <c r="P544" s="380">
        <f t="shared" si="105"/>
        <v>218005000</v>
      </c>
      <c r="Q544" s="390">
        <f t="shared" si="105"/>
        <v>16727</v>
      </c>
    </row>
    <row r="545" spans="1:17" ht="15">
      <c r="A545" s="171">
        <v>21</v>
      </c>
      <c r="B545" s="242" t="s">
        <v>200</v>
      </c>
      <c r="C545" s="23">
        <f aca="true" t="shared" si="106" ref="C545:H545">C283</f>
        <v>290</v>
      </c>
      <c r="D545" s="31">
        <f t="shared" si="106"/>
        <v>1517.9299999999998</v>
      </c>
      <c r="E545" s="22">
        <f t="shared" si="106"/>
        <v>8732861</v>
      </c>
      <c r="F545" s="23">
        <f t="shared" si="106"/>
        <v>1249637450</v>
      </c>
      <c r="G545" s="23">
        <f t="shared" si="106"/>
        <v>303795103</v>
      </c>
      <c r="H545" s="221">
        <f t="shared" si="106"/>
        <v>33529</v>
      </c>
      <c r="J545" s="171">
        <v>23</v>
      </c>
      <c r="K545" s="242" t="s">
        <v>202</v>
      </c>
      <c r="L545" s="23">
        <f aca="true" t="shared" si="107" ref="L545:Q545">L313</f>
        <v>107</v>
      </c>
      <c r="M545" s="31">
        <f t="shared" si="107"/>
        <v>112.66320000000002</v>
      </c>
      <c r="N545" s="22">
        <f t="shared" si="107"/>
        <v>11328153</v>
      </c>
      <c r="O545" s="23">
        <f t="shared" si="107"/>
        <v>1236368398</v>
      </c>
      <c r="P545" s="23">
        <f t="shared" si="107"/>
        <v>107420389</v>
      </c>
      <c r="Q545" s="20">
        <f t="shared" si="107"/>
        <v>316</v>
      </c>
    </row>
    <row r="546" spans="1:17" ht="15">
      <c r="A546" s="111">
        <v>24</v>
      </c>
      <c r="B546" s="242" t="s">
        <v>202</v>
      </c>
      <c r="C546" s="23">
        <f aca="true" t="shared" si="108" ref="C546:H546">C313</f>
        <v>81</v>
      </c>
      <c r="D546" s="31">
        <f t="shared" si="108"/>
        <v>87.403</v>
      </c>
      <c r="E546" s="22">
        <f t="shared" si="108"/>
        <v>13674640</v>
      </c>
      <c r="F546" s="22">
        <f t="shared" si="108"/>
        <v>862599931.3333333</v>
      </c>
      <c r="G546" s="23">
        <f t="shared" si="108"/>
        <v>105056609</v>
      </c>
      <c r="H546" s="20">
        <f t="shared" si="108"/>
        <v>292</v>
      </c>
      <c r="J546" s="111">
        <v>24</v>
      </c>
      <c r="K546" s="242" t="s">
        <v>84</v>
      </c>
      <c r="L546" s="23">
        <f aca="true" t="shared" si="109" ref="L546:Q546">L326</f>
        <v>267</v>
      </c>
      <c r="M546" s="31">
        <f t="shared" si="109"/>
        <v>665.6600000000001</v>
      </c>
      <c r="N546" s="22">
        <f t="shared" si="109"/>
        <v>21210937.46</v>
      </c>
      <c r="O546" s="23">
        <f t="shared" si="109"/>
        <v>2865811505</v>
      </c>
      <c r="P546" s="23">
        <f t="shared" si="109"/>
        <v>275731000</v>
      </c>
      <c r="Q546" s="20">
        <f t="shared" si="109"/>
        <v>2670</v>
      </c>
    </row>
    <row r="547" spans="1:17" ht="15">
      <c r="A547" s="171">
        <v>25</v>
      </c>
      <c r="B547" s="242" t="s">
        <v>84</v>
      </c>
      <c r="C547" s="185">
        <f aca="true" t="shared" si="110" ref="C547:H547">C326</f>
        <v>226</v>
      </c>
      <c r="D547" s="227">
        <f t="shared" si="110"/>
        <v>654.664</v>
      </c>
      <c r="E547" s="188">
        <f t="shared" si="110"/>
        <v>5434321.37</v>
      </c>
      <c r="F547" s="185">
        <f t="shared" si="110"/>
        <v>730138192</v>
      </c>
      <c r="G547" s="185">
        <f t="shared" si="110"/>
        <v>79237000</v>
      </c>
      <c r="H547" s="221">
        <f t="shared" si="110"/>
        <v>1428</v>
      </c>
      <c r="J547" s="171">
        <v>25</v>
      </c>
      <c r="K547" s="242" t="s">
        <v>203</v>
      </c>
      <c r="L547" s="23">
        <f aca="true" t="shared" si="111" ref="L547:Q547">L334</f>
        <v>163</v>
      </c>
      <c r="M547" s="31">
        <f t="shared" si="111"/>
        <v>163</v>
      </c>
      <c r="N547" s="22">
        <f t="shared" si="111"/>
        <v>1269894</v>
      </c>
      <c r="O547" s="23">
        <f t="shared" si="111"/>
        <v>4517200000</v>
      </c>
      <c r="P547" s="23">
        <f t="shared" si="111"/>
        <v>242474000</v>
      </c>
      <c r="Q547" s="20">
        <f t="shared" si="111"/>
        <v>12250</v>
      </c>
    </row>
    <row r="548" spans="1:17" ht="15">
      <c r="A548" s="111">
        <v>26</v>
      </c>
      <c r="B548" s="242" t="s">
        <v>203</v>
      </c>
      <c r="C548" s="185">
        <f aca="true" t="shared" si="112" ref="C548:H548">C334</f>
        <v>129</v>
      </c>
      <c r="D548" s="227">
        <f t="shared" si="112"/>
        <v>129.5</v>
      </c>
      <c r="E548" s="188">
        <f t="shared" si="112"/>
        <v>1053133</v>
      </c>
      <c r="F548" s="185">
        <f t="shared" si="112"/>
        <v>4147936000</v>
      </c>
      <c r="G548" s="185">
        <f t="shared" si="112"/>
        <v>200995000</v>
      </c>
      <c r="H548" s="221">
        <f t="shared" si="112"/>
        <v>7670</v>
      </c>
      <c r="J548" s="171">
        <v>26</v>
      </c>
      <c r="K548" s="249" t="s">
        <v>204</v>
      </c>
      <c r="L548" s="23">
        <f aca="true" t="shared" si="113" ref="L548:Q548">L345</f>
        <v>425</v>
      </c>
      <c r="M548" s="31">
        <f t="shared" si="113"/>
        <v>1062.533</v>
      </c>
      <c r="N548" s="22">
        <f t="shared" si="113"/>
        <v>3929240</v>
      </c>
      <c r="O548" s="23">
        <f t="shared" si="113"/>
        <v>381101825</v>
      </c>
      <c r="P548" s="23">
        <f t="shared" si="113"/>
        <v>222226000</v>
      </c>
      <c r="Q548" s="20">
        <f t="shared" si="113"/>
        <v>6122</v>
      </c>
    </row>
    <row r="549" spans="1:17" ht="15">
      <c r="A549" s="171">
        <v>27</v>
      </c>
      <c r="B549" s="249" t="s">
        <v>204</v>
      </c>
      <c r="C549" s="185">
        <f aca="true" t="shared" si="114" ref="C549:H549">C345</f>
        <v>310</v>
      </c>
      <c r="D549" s="227">
        <f t="shared" si="114"/>
        <v>1258.295</v>
      </c>
      <c r="E549" s="188">
        <f t="shared" si="114"/>
        <v>4384045</v>
      </c>
      <c r="F549" s="185">
        <f t="shared" si="114"/>
        <v>446319600</v>
      </c>
      <c r="G549" s="185">
        <f t="shared" si="114"/>
        <v>109364000</v>
      </c>
      <c r="H549" s="221">
        <f t="shared" si="114"/>
        <v>4460</v>
      </c>
      <c r="J549" s="111">
        <v>27</v>
      </c>
      <c r="K549" s="242" t="s">
        <v>88</v>
      </c>
      <c r="L549" s="23">
        <f aca="true" t="shared" si="115" ref="L549:Q549">L360</f>
        <v>39</v>
      </c>
      <c r="M549" s="31">
        <f t="shared" si="115"/>
        <v>230.745</v>
      </c>
      <c r="N549" s="22">
        <f t="shared" si="115"/>
        <v>1773447</v>
      </c>
      <c r="O549" s="23">
        <f t="shared" si="115"/>
        <v>273305920</v>
      </c>
      <c r="P549" s="23">
        <f t="shared" si="115"/>
        <v>111680505</v>
      </c>
      <c r="Q549" s="20">
        <f t="shared" si="115"/>
        <v>155</v>
      </c>
    </row>
    <row r="550" spans="1:17" ht="15">
      <c r="A550" s="171"/>
      <c r="B550" s="249"/>
      <c r="C550" s="185"/>
      <c r="D550" s="227"/>
      <c r="E550" s="188"/>
      <c r="F550" s="185"/>
      <c r="G550" s="185"/>
      <c r="H550" s="221"/>
      <c r="J550" s="171">
        <v>28</v>
      </c>
      <c r="K550" s="242" t="s">
        <v>264</v>
      </c>
      <c r="L550" s="23">
        <f aca="true" t="shared" si="116" ref="L550:Q550">L374</f>
        <v>62</v>
      </c>
      <c r="M550" s="23">
        <f t="shared" si="116"/>
        <v>98.48</v>
      </c>
      <c r="N550" s="23">
        <f t="shared" si="116"/>
        <v>94743</v>
      </c>
      <c r="O550" s="23">
        <f t="shared" si="116"/>
        <v>47683480</v>
      </c>
      <c r="P550" s="23">
        <f t="shared" si="116"/>
        <v>23675000</v>
      </c>
      <c r="Q550" s="23">
        <f t="shared" si="116"/>
        <v>128</v>
      </c>
    </row>
    <row r="551" spans="1:17" ht="15">
      <c r="A551" s="111">
        <v>28</v>
      </c>
      <c r="B551" s="242" t="s">
        <v>88</v>
      </c>
      <c r="C551" s="23">
        <f aca="true" t="shared" si="117" ref="C551:H551">C361</f>
        <v>47</v>
      </c>
      <c r="D551" s="31">
        <f t="shared" si="117"/>
        <v>229.085</v>
      </c>
      <c r="E551" s="22">
        <f t="shared" si="117"/>
        <v>304925</v>
      </c>
      <c r="F551" s="23">
        <f t="shared" si="117"/>
        <v>118172060</v>
      </c>
      <c r="G551" s="23">
        <f t="shared" si="117"/>
        <v>50272806</v>
      </c>
      <c r="H551" s="20">
        <f t="shared" si="117"/>
        <v>85</v>
      </c>
      <c r="J551" s="171">
        <v>29</v>
      </c>
      <c r="K551" s="242" t="s">
        <v>205</v>
      </c>
      <c r="L551" s="23">
        <f aca="true" t="shared" si="118" ref="L551:Q551">L383</f>
        <v>625</v>
      </c>
      <c r="M551" s="31">
        <f t="shared" si="118"/>
        <v>869.8091</v>
      </c>
      <c r="N551" s="22">
        <f t="shared" si="118"/>
        <v>6084683</v>
      </c>
      <c r="O551" s="23">
        <f t="shared" si="118"/>
        <v>6956788282</v>
      </c>
      <c r="P551" s="23">
        <f t="shared" si="118"/>
        <v>1220567000</v>
      </c>
      <c r="Q551" s="20">
        <f t="shared" si="118"/>
        <v>6115</v>
      </c>
    </row>
    <row r="552" spans="1:17" ht="15">
      <c r="A552" s="171">
        <v>29</v>
      </c>
      <c r="B552" s="242" t="s">
        <v>205</v>
      </c>
      <c r="C552" s="185">
        <f aca="true" t="shared" si="119" ref="C552:H552">C384</f>
        <v>594</v>
      </c>
      <c r="D552" s="227">
        <f t="shared" si="119"/>
        <v>726.113</v>
      </c>
      <c r="E552" s="188">
        <f t="shared" si="119"/>
        <v>4268088</v>
      </c>
      <c r="F552" s="185">
        <f t="shared" si="119"/>
        <v>4404647156</v>
      </c>
      <c r="G552" s="185">
        <f t="shared" si="119"/>
        <v>737201732</v>
      </c>
      <c r="H552" s="221">
        <f t="shared" si="119"/>
        <v>26788</v>
      </c>
      <c r="J552" s="111">
        <v>30</v>
      </c>
      <c r="K552" s="242" t="s">
        <v>206</v>
      </c>
      <c r="L552" s="23">
        <f aca="true" t="shared" si="120" ref="L552:Q552">L396</f>
        <v>391</v>
      </c>
      <c r="M552" s="31">
        <f t="shared" si="120"/>
        <v>948.723</v>
      </c>
      <c r="N552" s="22">
        <f t="shared" si="120"/>
        <v>2623194</v>
      </c>
      <c r="O552" s="23">
        <f t="shared" si="120"/>
        <v>1631316050</v>
      </c>
      <c r="P552" s="23">
        <f t="shared" si="120"/>
        <v>178535000</v>
      </c>
      <c r="Q552" s="20">
        <f t="shared" si="120"/>
        <v>6413</v>
      </c>
    </row>
    <row r="553" spans="1:17" ht="15">
      <c r="A553" s="111">
        <v>30</v>
      </c>
      <c r="B553" s="242" t="s">
        <v>206</v>
      </c>
      <c r="C553" s="23">
        <f aca="true" t="shared" si="121" ref="C553:H553">C397</f>
        <v>437</v>
      </c>
      <c r="D553" s="227">
        <f t="shared" si="121"/>
        <v>484.14099999999996</v>
      </c>
      <c r="E553" s="22">
        <f t="shared" si="121"/>
        <v>1667027.13</v>
      </c>
      <c r="F553" s="23">
        <f t="shared" si="121"/>
        <v>196622795.5</v>
      </c>
      <c r="G553" s="23">
        <f t="shared" si="121"/>
        <v>114685000</v>
      </c>
      <c r="H553" s="20">
        <f t="shared" si="121"/>
        <v>4599</v>
      </c>
      <c r="J553" s="171">
        <v>31</v>
      </c>
      <c r="K553" s="242" t="s">
        <v>207</v>
      </c>
      <c r="L553" s="23">
        <f aca="true" t="shared" si="122" ref="L553:Q553">L407</f>
        <v>64</v>
      </c>
      <c r="M553" s="31">
        <f t="shared" si="122"/>
        <v>1570.13</v>
      </c>
      <c r="N553" s="22">
        <f t="shared" si="122"/>
        <v>2966465</v>
      </c>
      <c r="O553" s="23">
        <f t="shared" si="122"/>
        <v>4665557000</v>
      </c>
      <c r="P553" s="23">
        <f t="shared" si="122"/>
        <v>514778000</v>
      </c>
      <c r="Q553" s="20">
        <f t="shared" si="122"/>
        <v>3781</v>
      </c>
    </row>
    <row r="554" spans="1:17" ht="15">
      <c r="A554" s="171">
        <v>31</v>
      </c>
      <c r="B554" s="242" t="s">
        <v>207</v>
      </c>
      <c r="C554" s="23">
        <f aca="true" t="shared" si="123" ref="C554:H554">C408</f>
        <v>58</v>
      </c>
      <c r="D554" s="31">
        <f t="shared" si="123"/>
        <v>1831.9008000000001</v>
      </c>
      <c r="E554" s="22">
        <f t="shared" si="123"/>
        <v>4227802.970000001</v>
      </c>
      <c r="F554" s="23">
        <f t="shared" si="123"/>
        <v>3806477255</v>
      </c>
      <c r="G554" s="23">
        <f t="shared" si="123"/>
        <v>322922000</v>
      </c>
      <c r="H554" s="20">
        <f t="shared" si="123"/>
        <v>5269</v>
      </c>
      <c r="J554" s="171">
        <v>32</v>
      </c>
      <c r="K554" s="242" t="s">
        <v>94</v>
      </c>
      <c r="L554" s="23">
        <f aca="true" t="shared" si="124" ref="L554:Q554">L417</f>
        <v>176</v>
      </c>
      <c r="M554" s="31">
        <f t="shared" si="124"/>
        <v>194.04</v>
      </c>
      <c r="N554" s="22">
        <f t="shared" si="124"/>
        <v>1260624</v>
      </c>
      <c r="O554" s="23">
        <f t="shared" si="124"/>
        <v>1515588616</v>
      </c>
      <c r="P554" s="23">
        <f t="shared" si="124"/>
        <v>200055025</v>
      </c>
      <c r="Q554" s="20">
        <f t="shared" si="124"/>
        <v>1230</v>
      </c>
    </row>
    <row r="555" spans="1:17" ht="15">
      <c r="A555" s="171">
        <v>23</v>
      </c>
      <c r="B555" s="242" t="s">
        <v>94</v>
      </c>
      <c r="C555" s="185">
        <f aca="true" t="shared" si="125" ref="C555:H555">C418</f>
        <v>184</v>
      </c>
      <c r="D555" s="227">
        <f t="shared" si="125"/>
        <v>200.97</v>
      </c>
      <c r="E555" s="188">
        <f t="shared" si="125"/>
        <v>1028629</v>
      </c>
      <c r="F555" s="185">
        <f t="shared" si="125"/>
        <v>1334462600</v>
      </c>
      <c r="G555" s="185">
        <f t="shared" si="125"/>
        <v>156052691</v>
      </c>
      <c r="H555" s="221">
        <f t="shared" si="125"/>
        <v>1340</v>
      </c>
      <c r="J555" s="111">
        <v>33</v>
      </c>
      <c r="K555" s="242" t="s">
        <v>208</v>
      </c>
      <c r="L555" s="23">
        <f aca="true" t="shared" si="126" ref="L555:Q555">L446</f>
        <v>985</v>
      </c>
      <c r="M555" s="31">
        <f t="shared" si="126"/>
        <v>2107.1769999999997</v>
      </c>
      <c r="N555" s="22">
        <f t="shared" si="126"/>
        <v>10202423</v>
      </c>
      <c r="O555" s="23">
        <f t="shared" si="126"/>
        <v>2080720550</v>
      </c>
      <c r="P555" s="23">
        <f t="shared" si="126"/>
        <v>839060000</v>
      </c>
      <c r="Q555" s="20">
        <f t="shared" si="126"/>
        <v>3375</v>
      </c>
    </row>
    <row r="556" spans="1:17" ht="15">
      <c r="A556" s="111">
        <v>32</v>
      </c>
      <c r="B556" s="242" t="s">
        <v>208</v>
      </c>
      <c r="C556" s="23">
        <f aca="true" t="shared" si="127" ref="C556:H556">C448</f>
        <v>817</v>
      </c>
      <c r="D556" s="31">
        <f t="shared" si="127"/>
        <v>2416.6202999999996</v>
      </c>
      <c r="E556" s="22">
        <f t="shared" si="127"/>
        <v>16576610</v>
      </c>
      <c r="F556" s="23">
        <f t="shared" si="127"/>
        <v>1765610025</v>
      </c>
      <c r="G556" s="23">
        <f t="shared" si="127"/>
        <v>263919000</v>
      </c>
      <c r="H556" s="20">
        <f t="shared" si="127"/>
        <v>3875</v>
      </c>
      <c r="J556" s="171">
        <v>34</v>
      </c>
      <c r="K556" s="242" t="s">
        <v>209</v>
      </c>
      <c r="L556" s="23">
        <f aca="true" t="shared" si="128" ref="L556:Q556">L461</f>
        <v>259</v>
      </c>
      <c r="M556" s="31">
        <f t="shared" si="128"/>
        <v>324.03</v>
      </c>
      <c r="N556" s="22">
        <f t="shared" si="128"/>
        <v>2448882</v>
      </c>
      <c r="O556" s="23">
        <f t="shared" si="128"/>
        <v>968133980</v>
      </c>
      <c r="P556" s="23">
        <f t="shared" si="128"/>
        <v>168339253</v>
      </c>
      <c r="Q556" s="20">
        <f t="shared" si="128"/>
        <v>6015</v>
      </c>
    </row>
    <row r="557" spans="1:17" ht="15">
      <c r="A557" s="171">
        <v>33</v>
      </c>
      <c r="B557" s="242" t="s">
        <v>209</v>
      </c>
      <c r="C557" s="23">
        <f aca="true" t="shared" si="129" ref="C557:H557">C462</f>
        <v>212</v>
      </c>
      <c r="D557" s="31">
        <f t="shared" si="129"/>
        <v>230.2</v>
      </c>
      <c r="E557" s="22">
        <f t="shared" si="129"/>
        <v>1800966</v>
      </c>
      <c r="F557" s="23">
        <f t="shared" si="129"/>
        <v>394960355</v>
      </c>
      <c r="G557" s="23">
        <f t="shared" si="129"/>
        <v>81092360</v>
      </c>
      <c r="H557" s="20">
        <f t="shared" si="129"/>
        <v>3855</v>
      </c>
      <c r="J557" s="171">
        <v>35</v>
      </c>
      <c r="K557" s="242" t="s">
        <v>210</v>
      </c>
      <c r="L557" s="23">
        <f aca="true" t="shared" si="130" ref="L557:Q557">L477</f>
        <v>349</v>
      </c>
      <c r="M557" s="31">
        <f t="shared" si="130"/>
        <v>2810.85</v>
      </c>
      <c r="N557" s="22">
        <f t="shared" si="130"/>
        <v>4854605</v>
      </c>
      <c r="O557" s="23">
        <f t="shared" si="130"/>
        <v>698465325</v>
      </c>
      <c r="P557" s="23">
        <f t="shared" si="130"/>
        <v>153260000</v>
      </c>
      <c r="Q557" s="20">
        <f t="shared" si="130"/>
        <v>3300</v>
      </c>
    </row>
    <row r="558" spans="1:17" ht="15">
      <c r="A558" s="111">
        <v>34</v>
      </c>
      <c r="B558" s="242" t="s">
        <v>210</v>
      </c>
      <c r="C558" s="23">
        <f aca="true" t="shared" si="131" ref="C558:H558">C478</f>
        <v>273</v>
      </c>
      <c r="D558" s="31">
        <f t="shared" si="131"/>
        <v>2383.24</v>
      </c>
      <c r="E558" s="22">
        <f t="shared" si="131"/>
        <v>2969421.436</v>
      </c>
      <c r="F558" s="23">
        <f t="shared" si="131"/>
        <v>345404469.2</v>
      </c>
      <c r="G558" s="23">
        <f t="shared" si="131"/>
        <v>91248648</v>
      </c>
      <c r="H558" s="221">
        <f t="shared" si="131"/>
        <v>880</v>
      </c>
      <c r="J558" s="111">
        <v>36</v>
      </c>
      <c r="K558" s="242" t="s">
        <v>95</v>
      </c>
      <c r="L558" s="23">
        <f aca="true" t="shared" si="132" ref="L558:Q558">L430</f>
        <v>45</v>
      </c>
      <c r="M558" s="31">
        <f t="shared" si="132"/>
        <v>58.86</v>
      </c>
      <c r="N558" s="22">
        <f t="shared" si="132"/>
        <v>145592</v>
      </c>
      <c r="O558" s="23">
        <f t="shared" si="132"/>
        <v>104132600</v>
      </c>
      <c r="P558" s="23">
        <f t="shared" si="132"/>
        <v>30247682</v>
      </c>
      <c r="Q558" s="20">
        <f t="shared" si="132"/>
        <v>192</v>
      </c>
    </row>
    <row r="559" spans="1:17" ht="15">
      <c r="A559" s="171">
        <v>35</v>
      </c>
      <c r="B559" s="242" t="s">
        <v>95</v>
      </c>
      <c r="C559" s="23">
        <f aca="true" t="shared" si="133" ref="C559:H559">C431</f>
        <v>88</v>
      </c>
      <c r="D559" s="31">
        <f t="shared" si="133"/>
        <v>127.52</v>
      </c>
      <c r="E559" s="22">
        <f t="shared" si="133"/>
        <v>122140</v>
      </c>
      <c r="F559" s="23">
        <f t="shared" si="133"/>
        <v>78043200</v>
      </c>
      <c r="G559" s="23">
        <f t="shared" si="133"/>
        <v>32369541</v>
      </c>
      <c r="H559" s="20">
        <f t="shared" si="133"/>
        <v>288</v>
      </c>
      <c r="J559" s="171">
        <v>37</v>
      </c>
      <c r="K559" s="242" t="s">
        <v>96</v>
      </c>
      <c r="L559" s="23">
        <f aca="true" t="shared" si="134" ref="L559:Q559">L486</f>
        <v>1</v>
      </c>
      <c r="M559" s="31">
        <f t="shared" si="134"/>
        <v>0</v>
      </c>
      <c r="N559" s="22">
        <f t="shared" si="134"/>
        <v>9418695</v>
      </c>
      <c r="O559" s="23">
        <f t="shared" si="134"/>
        <v>8055742500</v>
      </c>
      <c r="P559" s="23">
        <f t="shared" si="134"/>
        <v>219288000</v>
      </c>
      <c r="Q559" s="20">
        <f t="shared" si="134"/>
        <v>6255</v>
      </c>
    </row>
    <row r="560" spans="1:17" ht="15">
      <c r="A560" s="111">
        <v>36</v>
      </c>
      <c r="B560" s="242" t="s">
        <v>96</v>
      </c>
      <c r="C560" s="23">
        <f aca="true" t="shared" si="135" ref="C560:H560">C487</f>
        <v>1</v>
      </c>
      <c r="D560" s="31">
        <f t="shared" si="135"/>
        <v>0</v>
      </c>
      <c r="E560" s="22">
        <f t="shared" si="135"/>
        <v>7221047.68</v>
      </c>
      <c r="F560" s="23">
        <f t="shared" si="135"/>
        <v>4126075050</v>
      </c>
      <c r="G560" s="23">
        <f t="shared" si="135"/>
        <v>84817769</v>
      </c>
      <c r="H560" s="20">
        <f t="shared" si="135"/>
        <v>4783</v>
      </c>
      <c r="J560" s="171">
        <v>38</v>
      </c>
      <c r="K560" s="242" t="s">
        <v>105</v>
      </c>
      <c r="L560" s="380">
        <f aca="true" t="shared" si="136" ref="L560:Q560">L499</f>
        <v>202</v>
      </c>
      <c r="M560" s="389">
        <f t="shared" si="136"/>
        <v>197.41000000000003</v>
      </c>
      <c r="N560" s="319">
        <f t="shared" si="136"/>
        <v>14765907</v>
      </c>
      <c r="O560" s="380">
        <f t="shared" si="136"/>
        <v>873345100</v>
      </c>
      <c r="P560" s="380">
        <f t="shared" si="136"/>
        <v>388914000</v>
      </c>
      <c r="Q560" s="390">
        <f t="shared" si="136"/>
        <v>1210</v>
      </c>
    </row>
    <row r="561" spans="1:17" ht="15">
      <c r="A561" s="171">
        <v>37</v>
      </c>
      <c r="B561" s="242" t="s">
        <v>105</v>
      </c>
      <c r="C561" s="23">
        <f aca="true" t="shared" si="137" ref="C561:H561">C500</f>
        <v>6</v>
      </c>
      <c r="D561" s="31">
        <f t="shared" si="137"/>
        <v>5.65</v>
      </c>
      <c r="E561" s="22">
        <f t="shared" si="137"/>
        <v>15157368</v>
      </c>
      <c r="F561" s="23">
        <f t="shared" si="137"/>
        <v>842038400</v>
      </c>
      <c r="G561" s="23">
        <f t="shared" si="137"/>
        <v>196946000</v>
      </c>
      <c r="H561" s="20">
        <f t="shared" si="137"/>
        <v>899</v>
      </c>
      <c r="J561" s="111">
        <v>39</v>
      </c>
      <c r="K561" s="242" t="s">
        <v>211</v>
      </c>
      <c r="L561" s="292">
        <f aca="true" t="shared" si="138" ref="L561:Q561">L513</f>
        <v>285</v>
      </c>
      <c r="M561" s="290">
        <f t="shared" si="138"/>
        <v>367.39</v>
      </c>
      <c r="N561" s="291">
        <f t="shared" si="138"/>
        <v>7318196</v>
      </c>
      <c r="O561" s="292">
        <f t="shared" si="138"/>
        <v>2562814590</v>
      </c>
      <c r="P561" s="292">
        <f t="shared" si="138"/>
        <v>239912140</v>
      </c>
      <c r="Q561" s="282">
        <f t="shared" si="138"/>
        <v>2750</v>
      </c>
    </row>
    <row r="562" spans="1:17" ht="15.75">
      <c r="A562" s="111">
        <v>38</v>
      </c>
      <c r="B562" s="242" t="s">
        <v>211</v>
      </c>
      <c r="C562" s="23">
        <f aca="true" t="shared" si="139" ref="C562:H562">C514</f>
        <v>248</v>
      </c>
      <c r="D562" s="31">
        <f t="shared" si="139"/>
        <v>290.13</v>
      </c>
      <c r="E562" s="22">
        <f t="shared" si="139"/>
        <v>1598631</v>
      </c>
      <c r="F562" s="23">
        <f t="shared" si="139"/>
        <v>36552816</v>
      </c>
      <c r="G562" s="23">
        <f t="shared" si="139"/>
        <v>92571000</v>
      </c>
      <c r="H562" s="20">
        <f t="shared" si="139"/>
        <v>1435</v>
      </c>
      <c r="J562" s="250"/>
      <c r="K562" s="113" t="s">
        <v>212</v>
      </c>
      <c r="L562" s="151">
        <f aca="true" t="shared" si="140" ref="L562:Q562">SUM(L523:L561)</f>
        <v>11758</v>
      </c>
      <c r="M562" s="150">
        <f t="shared" si="140"/>
        <v>39863.8228</v>
      </c>
      <c r="N562" s="151">
        <f t="shared" si="140"/>
        <v>296487500.75</v>
      </c>
      <c r="O562" s="151">
        <f t="shared" si="140"/>
        <v>75571941139</v>
      </c>
      <c r="P562" s="151">
        <f t="shared" si="140"/>
        <v>11509995506</v>
      </c>
      <c r="Q562" s="151">
        <f t="shared" si="140"/>
        <v>258459</v>
      </c>
    </row>
    <row r="563" spans="1:8" ht="15.75">
      <c r="A563" s="250"/>
      <c r="B563" s="113" t="s">
        <v>212</v>
      </c>
      <c r="C563" s="151">
        <f aca="true" t="shared" si="141" ref="C563:H563">SUM(C526:C562)</f>
        <v>9367</v>
      </c>
      <c r="D563" s="150">
        <f t="shared" si="141"/>
        <v>33663.238699999994</v>
      </c>
      <c r="E563" s="151">
        <f t="shared" si="141"/>
        <v>173942226.656</v>
      </c>
      <c r="F563" s="151">
        <f t="shared" si="141"/>
        <v>40787568337.83333</v>
      </c>
      <c r="G563" s="151">
        <f t="shared" si="141"/>
        <v>5216233162</v>
      </c>
      <c r="H563" s="251">
        <f t="shared" si="141"/>
        <v>215273</v>
      </c>
    </row>
    <row r="565" spans="13:17" ht="15.75">
      <c r="M565" s="3"/>
      <c r="N565" s="3"/>
      <c r="O565" s="3"/>
      <c r="P565" s="3"/>
      <c r="Q565" s="3"/>
    </row>
    <row r="567" spans="12:17" ht="15.75">
      <c r="L567" s="5"/>
      <c r="M567" s="5"/>
      <c r="N567" s="5"/>
      <c r="Q567" s="5"/>
    </row>
  </sheetData>
  <sheetProtection password="86A8" sheet="1" selectLockedCells="1" selectUnlockedCells="1"/>
  <mergeCells count="16">
    <mergeCell ref="J517:Q517"/>
    <mergeCell ref="A518:H518"/>
    <mergeCell ref="J518:Q518"/>
    <mergeCell ref="A1:H1"/>
    <mergeCell ref="J1:Q1"/>
    <mergeCell ref="A2:H2"/>
    <mergeCell ref="J2:Q2"/>
    <mergeCell ref="A3:H3"/>
    <mergeCell ref="J3:Q3"/>
    <mergeCell ref="A520:H520"/>
    <mergeCell ref="J519:Q519"/>
    <mergeCell ref="A521:H521"/>
    <mergeCell ref="J521:J522"/>
    <mergeCell ref="K521:K522"/>
    <mergeCell ref="A522:A523"/>
    <mergeCell ref="B522:B523"/>
  </mergeCells>
  <printOptions/>
  <pageMargins left="0.7479166666666667" right="0.43333333333333335" top="0.39305555555555555" bottom="0.39305555555555555" header="0.19652777777777777" footer="0.19652777777777777"/>
  <pageSetup horizontalDpi="300" verticalDpi="300" orientation="portrait" paperSize="9" scale="83" r:id="rId1"/>
  <headerFooter alignWithMargins="0">
    <oddHeader>&amp;C2011-12_ Office minor</oddHeader>
  </headerFooter>
  <rowBreaks count="11" manualBreakCount="11">
    <brk id="47" min="1" max="16" man="1"/>
    <brk id="98" min="1" max="16" man="1"/>
    <brk id="150" min="1" max="16" man="1"/>
    <brk id="194" min="1" max="16" man="1"/>
    <brk id="243" min="1" max="16" man="1"/>
    <brk id="299" min="1" max="16" man="1"/>
    <brk id="346" min="1" max="16" man="1"/>
    <brk id="397" min="1" max="16" man="1"/>
    <brk id="447" min="1" max="16" man="1"/>
    <brk id="486" min="1" max="16" man="1"/>
    <brk id="516" max="255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86"/>
  <sheetViews>
    <sheetView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4.28125" style="0" customWidth="1"/>
    <col min="2" max="2" width="24.28125" style="0" bestFit="1" customWidth="1"/>
    <col min="3" max="3" width="8.7109375" style="0" customWidth="1"/>
    <col min="4" max="4" width="14.421875" style="0" customWidth="1"/>
    <col min="5" max="5" width="14.57421875" style="0" customWidth="1"/>
    <col min="6" max="6" width="15.140625" style="0" customWidth="1"/>
    <col min="7" max="7" width="14.7109375" style="0" customWidth="1"/>
    <col min="8" max="8" width="13.28125" style="0" customWidth="1"/>
    <col min="9" max="9" width="4.7109375" style="0" customWidth="1"/>
    <col min="17" max="17" width="12.57421875" style="0" customWidth="1"/>
    <col min="18" max="18" width="11.8515625" style="0" customWidth="1"/>
  </cols>
  <sheetData>
    <row r="1" spans="1:8" ht="27.75">
      <c r="A1" s="1151" t="s">
        <v>0</v>
      </c>
      <c r="B1" s="1151"/>
      <c r="C1" s="1151"/>
      <c r="D1" s="1151"/>
      <c r="E1" s="1151"/>
      <c r="F1" s="1151"/>
      <c r="G1" s="1151"/>
      <c r="H1" s="1151"/>
    </row>
    <row r="2" spans="1:8" ht="21">
      <c r="A2" s="1152" t="s">
        <v>390</v>
      </c>
      <c r="B2" s="1152"/>
      <c r="C2" s="1152"/>
      <c r="D2" s="1152"/>
      <c r="E2" s="1152"/>
      <c r="F2" s="1152"/>
      <c r="G2" s="1152"/>
      <c r="H2" s="1152"/>
    </row>
    <row r="3" spans="1:8" ht="21">
      <c r="A3" s="1152" t="s">
        <v>379</v>
      </c>
      <c r="B3" s="1152"/>
      <c r="C3" s="1152"/>
      <c r="D3" s="1152"/>
      <c r="E3" s="1152"/>
      <c r="F3" s="1152"/>
      <c r="G3" s="1152"/>
      <c r="H3" s="1152"/>
    </row>
    <row r="4" spans="1:8" ht="15">
      <c r="A4" s="139"/>
      <c r="B4" s="139"/>
      <c r="C4" s="139"/>
      <c r="D4" s="139"/>
      <c r="E4" s="139"/>
      <c r="F4" s="139"/>
      <c r="G4" s="139"/>
      <c r="H4" s="139"/>
    </row>
    <row r="5" spans="1:8" ht="20.25" customHeight="1">
      <c r="A5" s="1155" t="s">
        <v>213</v>
      </c>
      <c r="B5" s="1155"/>
      <c r="C5" s="1155"/>
      <c r="D5" s="1155"/>
      <c r="E5" s="1155"/>
      <c r="F5" s="1155"/>
      <c r="G5" s="1155"/>
      <c r="H5" s="1155"/>
    </row>
    <row r="6" spans="1:8" ht="15">
      <c r="A6" s="1154" t="s">
        <v>4</v>
      </c>
      <c r="B6" s="1156" t="s">
        <v>5</v>
      </c>
      <c r="C6" s="1156" t="s">
        <v>6</v>
      </c>
      <c r="D6" s="615" t="s">
        <v>7</v>
      </c>
      <c r="E6" s="615" t="s">
        <v>8</v>
      </c>
      <c r="F6" s="615" t="s">
        <v>9</v>
      </c>
      <c r="G6" s="615" t="s">
        <v>10</v>
      </c>
      <c r="H6" s="615" t="s">
        <v>11</v>
      </c>
    </row>
    <row r="7" spans="1:8" ht="15.75" customHeight="1">
      <c r="A7" s="1154"/>
      <c r="B7" s="1157"/>
      <c r="C7" s="1157"/>
      <c r="D7" s="618" t="s">
        <v>12</v>
      </c>
      <c r="E7" s="618" t="s">
        <v>13</v>
      </c>
      <c r="F7" s="619" t="s">
        <v>214</v>
      </c>
      <c r="G7" s="619" t="s">
        <v>214</v>
      </c>
      <c r="H7" s="618" t="s">
        <v>15</v>
      </c>
    </row>
    <row r="8" spans="1:8" ht="15.75">
      <c r="A8" s="18">
        <v>1</v>
      </c>
      <c r="B8" s="19" t="s">
        <v>21</v>
      </c>
      <c r="C8" s="20">
        <v>358</v>
      </c>
      <c r="D8" s="32">
        <v>1976.054</v>
      </c>
      <c r="E8" s="33">
        <v>371715</v>
      </c>
      <c r="F8" s="22">
        <v>130100250</v>
      </c>
      <c r="G8" s="22">
        <v>24660443</v>
      </c>
      <c r="H8" s="23">
        <v>2815</v>
      </c>
    </row>
    <row r="9" spans="1:8" ht="15.75">
      <c r="A9" s="18">
        <v>2</v>
      </c>
      <c r="B9" s="19" t="s">
        <v>17</v>
      </c>
      <c r="C9" s="20">
        <v>176</v>
      </c>
      <c r="D9" s="32">
        <v>1145.088</v>
      </c>
      <c r="E9" s="33">
        <v>90203</v>
      </c>
      <c r="F9" s="22">
        <v>36081200</v>
      </c>
      <c r="G9" s="22">
        <v>13278700</v>
      </c>
      <c r="H9" s="23">
        <v>1360</v>
      </c>
    </row>
    <row r="10" spans="1:8" ht="15.75">
      <c r="A10" s="18">
        <v>3</v>
      </c>
      <c r="B10" s="19" t="s">
        <v>22</v>
      </c>
      <c r="C10" s="20">
        <v>6</v>
      </c>
      <c r="D10" s="32">
        <v>64.4</v>
      </c>
      <c r="E10" s="33">
        <v>48990</v>
      </c>
      <c r="F10" s="22">
        <v>39192000</v>
      </c>
      <c r="G10" s="22">
        <v>1085000</v>
      </c>
      <c r="H10" s="23">
        <v>8</v>
      </c>
    </row>
    <row r="11" spans="1:8" ht="15.75">
      <c r="A11" s="18">
        <v>4</v>
      </c>
      <c r="B11" s="19" t="s">
        <v>23</v>
      </c>
      <c r="C11" s="20">
        <v>1</v>
      </c>
      <c r="D11" s="32">
        <v>46.32</v>
      </c>
      <c r="E11" s="33"/>
      <c r="F11" s="22"/>
      <c r="G11" s="22">
        <v>185280</v>
      </c>
      <c r="H11" s="23">
        <v>2</v>
      </c>
    </row>
    <row r="12" spans="1:8" ht="15.75">
      <c r="A12" s="18">
        <v>5</v>
      </c>
      <c r="B12" s="19" t="s">
        <v>24</v>
      </c>
      <c r="C12" s="20">
        <v>2</v>
      </c>
      <c r="D12" s="32">
        <v>9.4</v>
      </c>
      <c r="E12" s="33"/>
      <c r="F12" s="22"/>
      <c r="G12" s="22"/>
      <c r="H12" s="23"/>
    </row>
    <row r="13" spans="1:8" ht="15.75">
      <c r="A13" s="18">
        <v>6</v>
      </c>
      <c r="B13" s="19" t="s">
        <v>25</v>
      </c>
      <c r="C13" s="20">
        <v>1</v>
      </c>
      <c r="D13" s="32">
        <v>4.74</v>
      </c>
      <c r="E13" s="33">
        <v>680</v>
      </c>
      <c r="F13" s="22">
        <v>122400</v>
      </c>
      <c r="G13" s="22">
        <v>10000</v>
      </c>
      <c r="H13" s="23">
        <v>2</v>
      </c>
    </row>
    <row r="14" spans="1:8" ht="15.75">
      <c r="A14" s="18">
        <v>7</v>
      </c>
      <c r="B14" s="19" t="s">
        <v>16</v>
      </c>
      <c r="C14" s="20"/>
      <c r="D14" s="32"/>
      <c r="E14" s="33"/>
      <c r="F14" s="22"/>
      <c r="G14" s="22"/>
      <c r="H14" s="23"/>
    </row>
    <row r="15" spans="1:8" ht="15.75">
      <c r="A15" s="18">
        <v>7</v>
      </c>
      <c r="B15" s="19" t="s">
        <v>26</v>
      </c>
      <c r="C15" s="20">
        <v>7</v>
      </c>
      <c r="D15" s="32">
        <v>29.4</v>
      </c>
      <c r="E15" s="33">
        <v>4300</v>
      </c>
      <c r="F15" s="22">
        <v>7740000</v>
      </c>
      <c r="G15" s="22">
        <v>50000</v>
      </c>
      <c r="H15" s="23">
        <v>45</v>
      </c>
    </row>
    <row r="16" spans="1:8" ht="15.75">
      <c r="A16" s="18">
        <v>8</v>
      </c>
      <c r="B16" s="19" t="s">
        <v>27</v>
      </c>
      <c r="C16" s="20">
        <v>1</v>
      </c>
      <c r="D16" s="32">
        <v>858.8</v>
      </c>
      <c r="E16" s="33">
        <v>1493923</v>
      </c>
      <c r="F16" s="22">
        <v>243509482</v>
      </c>
      <c r="G16" s="22">
        <v>96741000</v>
      </c>
      <c r="H16" s="23">
        <v>103</v>
      </c>
    </row>
    <row r="17" spans="1:8" ht="15.75">
      <c r="A17" s="18">
        <v>9</v>
      </c>
      <c r="B17" s="19" t="s">
        <v>28</v>
      </c>
      <c r="C17" s="20">
        <v>1</v>
      </c>
      <c r="D17" s="32">
        <v>480.5</v>
      </c>
      <c r="E17" s="33">
        <v>39071</v>
      </c>
      <c r="F17" s="22"/>
      <c r="G17" s="22">
        <v>26019000</v>
      </c>
      <c r="H17" s="23">
        <v>112</v>
      </c>
    </row>
    <row r="18" spans="1:8" ht="15.75">
      <c r="A18" s="18">
        <v>10</v>
      </c>
      <c r="B18" s="19" t="s">
        <v>29</v>
      </c>
      <c r="C18" s="20">
        <v>6</v>
      </c>
      <c r="D18" s="32">
        <v>24.5</v>
      </c>
      <c r="E18" s="33"/>
      <c r="F18" s="22"/>
      <c r="G18" s="22">
        <v>126000</v>
      </c>
      <c r="H18" s="23">
        <v>2</v>
      </c>
    </row>
    <row r="19" spans="1:8" ht="15.75">
      <c r="A19" s="18">
        <v>11</v>
      </c>
      <c r="B19" s="19" t="s">
        <v>30</v>
      </c>
      <c r="C19" s="20">
        <v>2</v>
      </c>
      <c r="D19" s="35">
        <v>9.93</v>
      </c>
      <c r="E19" s="33"/>
      <c r="F19" s="22"/>
      <c r="G19" s="22">
        <v>10000</v>
      </c>
      <c r="H19" s="23"/>
    </row>
    <row r="20" spans="1:8" ht="15.75">
      <c r="A20" s="18">
        <v>12</v>
      </c>
      <c r="B20" s="19" t="s">
        <v>31</v>
      </c>
      <c r="C20" s="20">
        <v>1</v>
      </c>
      <c r="D20" s="32">
        <v>4</v>
      </c>
      <c r="E20" s="33"/>
      <c r="F20" s="22"/>
      <c r="G20" s="22">
        <v>2000</v>
      </c>
      <c r="H20" s="23"/>
    </row>
    <row r="21" spans="1:8" ht="15.75">
      <c r="A21" s="18"/>
      <c r="B21" s="19"/>
      <c r="C21" s="20"/>
      <c r="D21" s="32"/>
      <c r="E21" s="33"/>
      <c r="F21" s="22"/>
      <c r="G21" s="22"/>
      <c r="H21" s="23"/>
    </row>
    <row r="22" spans="1:8" ht="15.75">
      <c r="A22" s="18"/>
      <c r="B22" s="19"/>
      <c r="C22" s="20"/>
      <c r="D22" s="32"/>
      <c r="E22" s="33"/>
      <c r="F22" s="22"/>
      <c r="G22" s="22"/>
      <c r="H22" s="23"/>
    </row>
    <row r="23" spans="1:8" ht="15.75">
      <c r="A23" s="625"/>
      <c r="B23" s="630" t="s">
        <v>19</v>
      </c>
      <c r="C23" s="633">
        <f aca="true" t="shared" si="0" ref="C23:H23">SUM(C8:C22)</f>
        <v>562</v>
      </c>
      <c r="D23" s="634">
        <f t="shared" si="0"/>
        <v>4653.1320000000005</v>
      </c>
      <c r="E23" s="635">
        <f t="shared" si="0"/>
        <v>2048882</v>
      </c>
      <c r="F23" s="635">
        <f t="shared" si="0"/>
        <v>456745332</v>
      </c>
      <c r="G23" s="635">
        <f t="shared" si="0"/>
        <v>162167423</v>
      </c>
      <c r="H23" s="635">
        <f t="shared" si="0"/>
        <v>4449</v>
      </c>
    </row>
    <row r="24" spans="1:8" ht="20.25">
      <c r="A24" s="10"/>
      <c r="B24" s="11"/>
      <c r="C24" s="12"/>
      <c r="D24" s="30"/>
      <c r="E24" s="14"/>
      <c r="F24" s="14"/>
      <c r="G24" s="14"/>
      <c r="H24" s="15"/>
    </row>
    <row r="25" spans="1:8" ht="20.25" customHeight="1">
      <c r="A25" s="1161" t="s">
        <v>258</v>
      </c>
      <c r="B25" s="1161"/>
      <c r="C25" s="1161"/>
      <c r="D25" s="1161"/>
      <c r="E25" s="1161"/>
      <c r="F25" s="1161"/>
      <c r="G25" s="1161"/>
      <c r="H25" s="1161"/>
    </row>
    <row r="26" spans="1:8" ht="15" customHeight="1">
      <c r="A26" s="1154" t="s">
        <v>4</v>
      </c>
      <c r="B26" s="1156" t="s">
        <v>5</v>
      </c>
      <c r="C26" s="1156" t="s">
        <v>6</v>
      </c>
      <c r="D26" s="615" t="s">
        <v>7</v>
      </c>
      <c r="E26" s="615" t="s">
        <v>8</v>
      </c>
      <c r="F26" s="615" t="s">
        <v>9</v>
      </c>
      <c r="G26" s="615" t="s">
        <v>10</v>
      </c>
      <c r="H26" s="615" t="s">
        <v>11</v>
      </c>
    </row>
    <row r="27" spans="1:8" ht="15">
      <c r="A27" s="1154"/>
      <c r="B27" s="1157"/>
      <c r="C27" s="1157"/>
      <c r="D27" s="618" t="s">
        <v>12</v>
      </c>
      <c r="E27" s="618" t="s">
        <v>13</v>
      </c>
      <c r="F27" s="619" t="s">
        <v>214</v>
      </c>
      <c r="G27" s="619" t="s">
        <v>214</v>
      </c>
      <c r="H27" s="618" t="s">
        <v>15</v>
      </c>
    </row>
    <row r="28" spans="1:8" ht="15.75">
      <c r="A28" s="18">
        <v>1</v>
      </c>
      <c r="B28" s="19" t="s">
        <v>21</v>
      </c>
      <c r="C28" s="1159">
        <v>1</v>
      </c>
      <c r="D28" s="1163">
        <v>4</v>
      </c>
      <c r="E28" s="22"/>
      <c r="F28" s="22"/>
      <c r="G28" s="22">
        <v>49974</v>
      </c>
      <c r="H28" s="23"/>
    </row>
    <row r="29" spans="1:8" ht="15.75">
      <c r="A29" s="18">
        <v>2</v>
      </c>
      <c r="B29" s="19" t="s">
        <v>17</v>
      </c>
      <c r="C29" s="1160"/>
      <c r="D29" s="1164"/>
      <c r="E29" s="22"/>
      <c r="F29" s="22"/>
      <c r="G29" s="22"/>
      <c r="H29" s="23"/>
    </row>
    <row r="30" spans="1:8" ht="15.75">
      <c r="A30" s="37">
        <v>3</v>
      </c>
      <c r="B30" s="19" t="s">
        <v>36</v>
      </c>
      <c r="C30" s="38">
        <v>2</v>
      </c>
      <c r="D30" s="19">
        <v>8.5025</v>
      </c>
      <c r="E30" s="22">
        <v>5260</v>
      </c>
      <c r="F30" s="22">
        <v>1578000</v>
      </c>
      <c r="G30" s="22">
        <v>104000</v>
      </c>
      <c r="H30" s="23">
        <v>3</v>
      </c>
    </row>
    <row r="31" spans="1:8" ht="15.75">
      <c r="A31" s="18">
        <v>4</v>
      </c>
      <c r="B31" s="19" t="s">
        <v>25</v>
      </c>
      <c r="C31" s="38">
        <v>1</v>
      </c>
      <c r="D31" s="19">
        <v>4.6856</v>
      </c>
      <c r="E31" s="22">
        <v>6033</v>
      </c>
      <c r="F31" s="22">
        <v>1508250</v>
      </c>
      <c r="G31" s="22">
        <v>188000</v>
      </c>
      <c r="H31" s="23">
        <v>3</v>
      </c>
    </row>
    <row r="32" spans="1:8" ht="15.75">
      <c r="A32" s="18">
        <v>5</v>
      </c>
      <c r="B32" s="19" t="s">
        <v>34</v>
      </c>
      <c r="C32" s="23">
        <v>1</v>
      </c>
      <c r="D32" s="19">
        <v>3.589</v>
      </c>
      <c r="E32" s="22"/>
      <c r="F32" s="22"/>
      <c r="G32" s="22"/>
      <c r="H32" s="23"/>
    </row>
    <row r="33" spans="1:8" ht="15.75">
      <c r="A33" s="18">
        <v>6</v>
      </c>
      <c r="B33" s="19" t="s">
        <v>267</v>
      </c>
      <c r="C33" s="23">
        <v>1</v>
      </c>
      <c r="D33" s="19">
        <v>20</v>
      </c>
      <c r="E33" s="22"/>
      <c r="F33" s="22"/>
      <c r="G33" s="22">
        <v>35750</v>
      </c>
      <c r="H33" s="23"/>
    </row>
    <row r="34" spans="1:8" ht="15.75">
      <c r="A34" s="18">
        <v>7</v>
      </c>
      <c r="B34" s="19" t="s">
        <v>33</v>
      </c>
      <c r="C34" s="23">
        <v>1</v>
      </c>
      <c r="D34" s="19">
        <v>69.367</v>
      </c>
      <c r="E34" s="22"/>
      <c r="F34" s="22"/>
      <c r="G34" s="22">
        <v>250</v>
      </c>
      <c r="H34" s="23"/>
    </row>
    <row r="35" spans="1:8" ht="15.75">
      <c r="A35" s="18">
        <v>8</v>
      </c>
      <c r="B35" s="19" t="s">
        <v>98</v>
      </c>
      <c r="C35" s="23"/>
      <c r="D35" s="19"/>
      <c r="E35" s="22"/>
      <c r="F35" s="22"/>
      <c r="G35" s="22">
        <v>2050</v>
      </c>
      <c r="H35" s="23"/>
    </row>
    <row r="36" spans="1:8" ht="15.75">
      <c r="A36" s="636"/>
      <c r="B36" s="630" t="s">
        <v>19</v>
      </c>
      <c r="C36" s="633">
        <f aca="true" t="shared" si="1" ref="C36:H36">SUM(C28:C35)</f>
        <v>7</v>
      </c>
      <c r="D36" s="634">
        <f t="shared" si="1"/>
        <v>110.14410000000001</v>
      </c>
      <c r="E36" s="635">
        <f t="shared" si="1"/>
        <v>11293</v>
      </c>
      <c r="F36" s="635">
        <f t="shared" si="1"/>
        <v>3086250</v>
      </c>
      <c r="G36" s="635">
        <f t="shared" si="1"/>
        <v>380024</v>
      </c>
      <c r="H36" s="633">
        <f t="shared" si="1"/>
        <v>6</v>
      </c>
    </row>
    <row r="37" spans="1:8" ht="20.25">
      <c r="A37" s="10"/>
      <c r="B37" s="11"/>
      <c r="C37" s="12"/>
      <c r="D37" s="30"/>
      <c r="E37" s="14"/>
      <c r="F37" s="14"/>
      <c r="G37" s="14"/>
      <c r="H37" s="15"/>
    </row>
    <row r="38" spans="1:8" ht="18.75">
      <c r="A38" s="1155" t="s">
        <v>216</v>
      </c>
      <c r="B38" s="1155"/>
      <c r="C38" s="1155"/>
      <c r="D38" s="1155"/>
      <c r="E38" s="1155"/>
      <c r="F38" s="1155"/>
      <c r="G38" s="1155"/>
      <c r="H38" s="1155"/>
    </row>
    <row r="39" spans="1:8" ht="15" customHeight="1">
      <c r="A39" s="1154" t="s">
        <v>4</v>
      </c>
      <c r="B39" s="1156" t="s">
        <v>5</v>
      </c>
      <c r="C39" s="1156" t="s">
        <v>6</v>
      </c>
      <c r="D39" s="615" t="s">
        <v>7</v>
      </c>
      <c r="E39" s="615" t="s">
        <v>8</v>
      </c>
      <c r="F39" s="615" t="s">
        <v>9</v>
      </c>
      <c r="G39" s="615" t="s">
        <v>10</v>
      </c>
      <c r="H39" s="615" t="s">
        <v>11</v>
      </c>
    </row>
    <row r="40" spans="1:8" ht="15">
      <c r="A40" s="1154"/>
      <c r="B40" s="1157"/>
      <c r="C40" s="1157"/>
      <c r="D40" s="618" t="s">
        <v>12</v>
      </c>
      <c r="E40" s="618" t="s">
        <v>13</v>
      </c>
      <c r="F40" s="619" t="s">
        <v>214</v>
      </c>
      <c r="G40" s="619" t="s">
        <v>214</v>
      </c>
      <c r="H40" s="618" t="s">
        <v>15</v>
      </c>
    </row>
    <row r="41" spans="1:8" ht="15.75">
      <c r="A41" s="27">
        <v>1</v>
      </c>
      <c r="B41" s="19" t="s">
        <v>39</v>
      </c>
      <c r="C41" s="20">
        <v>1</v>
      </c>
      <c r="D41" s="19">
        <v>71.3229</v>
      </c>
      <c r="E41" s="22"/>
      <c r="F41" s="22"/>
      <c r="G41" s="22">
        <v>42000</v>
      </c>
      <c r="H41" s="23"/>
    </row>
    <row r="42" spans="1:8" ht="15.75">
      <c r="A42" s="27">
        <v>2</v>
      </c>
      <c r="B42" s="19" t="s">
        <v>25</v>
      </c>
      <c r="C42" s="23">
        <v>1</v>
      </c>
      <c r="D42" s="19">
        <v>63.3866</v>
      </c>
      <c r="E42" s="43">
        <v>1340</v>
      </c>
      <c r="F42" s="23">
        <v>1206000</v>
      </c>
      <c r="G42" s="22">
        <v>563000</v>
      </c>
      <c r="H42" s="22">
        <v>250</v>
      </c>
    </row>
    <row r="43" spans="1:8" ht="15.75">
      <c r="A43" s="27">
        <v>3</v>
      </c>
      <c r="B43" s="19" t="s">
        <v>40</v>
      </c>
      <c r="C43" s="20"/>
      <c r="D43" s="19"/>
      <c r="E43" s="22"/>
      <c r="F43" s="22"/>
      <c r="G43" s="22"/>
      <c r="H43" s="23"/>
    </row>
    <row r="44" spans="1:8" ht="15.75">
      <c r="A44" s="27">
        <v>3</v>
      </c>
      <c r="B44" s="19" t="s">
        <v>38</v>
      </c>
      <c r="C44" s="20">
        <v>1</v>
      </c>
      <c r="D44" s="19">
        <v>18.898</v>
      </c>
      <c r="E44" s="22">
        <v>4987</v>
      </c>
      <c r="F44" s="22">
        <v>12467500</v>
      </c>
      <c r="G44" s="22">
        <v>838000</v>
      </c>
      <c r="H44" s="23">
        <v>70</v>
      </c>
    </row>
    <row r="45" spans="1:8" ht="15.75">
      <c r="A45" s="27">
        <v>4</v>
      </c>
      <c r="B45" s="19" t="s">
        <v>27</v>
      </c>
      <c r="C45" s="20">
        <v>1</v>
      </c>
      <c r="D45" s="19">
        <v>65.82</v>
      </c>
      <c r="E45" s="22">
        <v>1274549</v>
      </c>
      <c r="F45" s="22">
        <v>140200390</v>
      </c>
      <c r="G45" s="22">
        <v>82345000</v>
      </c>
      <c r="H45" s="23">
        <v>800</v>
      </c>
    </row>
    <row r="46" spans="1:8" ht="15.75">
      <c r="A46" s="27"/>
      <c r="B46" s="19" t="s">
        <v>41</v>
      </c>
      <c r="C46" s="20"/>
      <c r="D46" s="31"/>
      <c r="E46" s="22"/>
      <c r="F46" s="22"/>
      <c r="G46" s="22"/>
      <c r="H46" s="23"/>
    </row>
    <row r="47" spans="1:8" ht="15.75">
      <c r="A47" s="27"/>
      <c r="B47" s="19"/>
      <c r="C47" s="20"/>
      <c r="D47" s="31"/>
      <c r="E47" s="22"/>
      <c r="F47" s="22"/>
      <c r="G47" s="22"/>
      <c r="H47" s="23"/>
    </row>
    <row r="48" spans="1:8" ht="15.75">
      <c r="A48" s="636"/>
      <c r="B48" s="630" t="s">
        <v>19</v>
      </c>
      <c r="C48" s="633">
        <f aca="true" t="shared" si="2" ref="C48:H48">SUM(C41:C47)</f>
        <v>4</v>
      </c>
      <c r="D48" s="633">
        <f t="shared" si="2"/>
        <v>219.42749999999998</v>
      </c>
      <c r="E48" s="635">
        <f>SUM(E41:E47)</f>
        <v>1280876</v>
      </c>
      <c r="F48" s="633">
        <f t="shared" si="2"/>
        <v>153873890</v>
      </c>
      <c r="G48" s="633">
        <f t="shared" si="2"/>
        <v>83788000</v>
      </c>
      <c r="H48" s="633">
        <f t="shared" si="2"/>
        <v>1120</v>
      </c>
    </row>
    <row r="49" spans="1:8" ht="15.75">
      <c r="A49" s="10"/>
      <c r="B49" s="67"/>
      <c r="C49" s="49"/>
      <c r="D49" s="68"/>
      <c r="E49" s="50"/>
      <c r="F49" s="50"/>
      <c r="G49" s="50"/>
      <c r="H49" s="49"/>
    </row>
    <row r="50" spans="1:8" ht="20.25" customHeight="1">
      <c r="A50" s="1155" t="s">
        <v>249</v>
      </c>
      <c r="B50" s="1155"/>
      <c r="C50" s="1155"/>
      <c r="D50" s="1155"/>
      <c r="E50" s="1155"/>
      <c r="F50" s="1155"/>
      <c r="G50" s="1155"/>
      <c r="H50" s="1155"/>
    </row>
    <row r="51" spans="1:8" ht="15" customHeight="1">
      <c r="A51" s="1154" t="s">
        <v>4</v>
      </c>
      <c r="B51" s="1156" t="s">
        <v>5</v>
      </c>
      <c r="C51" s="1156" t="s">
        <v>6</v>
      </c>
      <c r="D51" s="615" t="s">
        <v>7</v>
      </c>
      <c r="E51" s="615" t="s">
        <v>8</v>
      </c>
      <c r="F51" s="615" t="s">
        <v>9</v>
      </c>
      <c r="G51" s="615" t="s">
        <v>10</v>
      </c>
      <c r="H51" s="615" t="s">
        <v>11</v>
      </c>
    </row>
    <row r="52" spans="1:8" ht="15">
      <c r="A52" s="1154"/>
      <c r="B52" s="1157"/>
      <c r="C52" s="1157"/>
      <c r="D52" s="618" t="s">
        <v>12</v>
      </c>
      <c r="E52" s="618" t="s">
        <v>13</v>
      </c>
      <c r="F52" s="619" t="s">
        <v>214</v>
      </c>
      <c r="G52" s="619" t="s">
        <v>214</v>
      </c>
      <c r="H52" s="618" t="s">
        <v>15</v>
      </c>
    </row>
    <row r="53" spans="1:8" ht="15.75">
      <c r="A53" s="44">
        <v>1</v>
      </c>
      <c r="B53" s="19" t="s">
        <v>43</v>
      </c>
      <c r="C53" s="20">
        <v>3</v>
      </c>
      <c r="D53" s="31">
        <v>7391.7135</v>
      </c>
      <c r="E53" s="22">
        <v>4771286</v>
      </c>
      <c r="F53" s="22">
        <v>3211075828</v>
      </c>
      <c r="G53" s="22">
        <v>347946000</v>
      </c>
      <c r="H53" s="20">
        <v>494</v>
      </c>
    </row>
    <row r="54" spans="1:8" ht="15.75">
      <c r="A54" s="44">
        <v>2</v>
      </c>
      <c r="B54" s="19" t="s">
        <v>44</v>
      </c>
      <c r="C54" s="20">
        <v>5</v>
      </c>
      <c r="D54" s="31">
        <v>94.999</v>
      </c>
      <c r="E54" s="45"/>
      <c r="F54" s="45"/>
      <c r="G54" s="22">
        <v>284006</v>
      </c>
      <c r="H54" s="46"/>
    </row>
    <row r="55" spans="1:8" ht="15.75">
      <c r="A55" s="44">
        <v>3</v>
      </c>
      <c r="B55" s="19" t="s">
        <v>46</v>
      </c>
      <c r="C55" s="20">
        <v>3</v>
      </c>
      <c r="D55" s="31">
        <v>402.62</v>
      </c>
      <c r="E55" s="22">
        <v>1337</v>
      </c>
      <c r="F55" s="22">
        <v>1136204</v>
      </c>
      <c r="G55" s="22">
        <v>300000</v>
      </c>
      <c r="H55" s="20">
        <v>40</v>
      </c>
    </row>
    <row r="56" spans="1:8" ht="15.75">
      <c r="A56" s="44">
        <v>4</v>
      </c>
      <c r="B56" s="19" t="s">
        <v>47</v>
      </c>
      <c r="C56" s="20">
        <v>4</v>
      </c>
      <c r="D56" s="31">
        <v>19.98</v>
      </c>
      <c r="E56" s="45"/>
      <c r="F56" s="45"/>
      <c r="G56" s="22">
        <v>28000</v>
      </c>
      <c r="H56" s="45"/>
    </row>
    <row r="57" spans="1:8" ht="15.75">
      <c r="A57" s="44">
        <v>5</v>
      </c>
      <c r="B57" s="19" t="s">
        <v>48</v>
      </c>
      <c r="C57" s="20">
        <v>1</v>
      </c>
      <c r="D57" s="31">
        <v>336.08</v>
      </c>
      <c r="E57" s="45"/>
      <c r="F57" s="45"/>
      <c r="G57" s="22">
        <v>336000</v>
      </c>
      <c r="H57" s="45"/>
    </row>
    <row r="58" spans="1:8" ht="15.75">
      <c r="A58" s="44">
        <v>6</v>
      </c>
      <c r="B58" s="19" t="s">
        <v>36</v>
      </c>
      <c r="C58" s="20"/>
      <c r="D58" s="31"/>
      <c r="E58" s="45"/>
      <c r="F58" s="45"/>
      <c r="G58" s="22"/>
      <c r="H58" s="45"/>
    </row>
    <row r="59" spans="1:8" ht="15.75">
      <c r="A59" s="44">
        <v>7</v>
      </c>
      <c r="B59" s="19" t="s">
        <v>66</v>
      </c>
      <c r="C59" s="20"/>
      <c r="D59" s="31"/>
      <c r="E59" s="45"/>
      <c r="F59" s="45"/>
      <c r="G59" s="22"/>
      <c r="H59" s="45"/>
    </row>
    <row r="60" spans="1:8" ht="15.75">
      <c r="A60" s="636"/>
      <c r="B60" s="630" t="s">
        <v>19</v>
      </c>
      <c r="C60" s="635">
        <f aca="true" t="shared" si="3" ref="C60:H60">SUM(C53:C59)</f>
        <v>16</v>
      </c>
      <c r="D60" s="634">
        <f t="shared" si="3"/>
        <v>8245.3925</v>
      </c>
      <c r="E60" s="635">
        <f t="shared" si="3"/>
        <v>4772623</v>
      </c>
      <c r="F60" s="635">
        <f t="shared" si="3"/>
        <v>3212212032</v>
      </c>
      <c r="G60" s="635">
        <f t="shared" si="3"/>
        <v>348894006</v>
      </c>
      <c r="H60" s="635">
        <f t="shared" si="3"/>
        <v>534</v>
      </c>
    </row>
    <row r="61" spans="1:8" ht="18.75">
      <c r="A61" s="10"/>
      <c r="B61" s="47"/>
      <c r="C61" s="48"/>
      <c r="D61" s="49"/>
      <c r="E61" s="50"/>
      <c r="F61" s="50"/>
      <c r="G61" s="50"/>
      <c r="H61" s="49"/>
    </row>
    <row r="62" spans="1:8" ht="18.75">
      <c r="A62" s="1155" t="s">
        <v>219</v>
      </c>
      <c r="B62" s="1155"/>
      <c r="C62" s="1155"/>
      <c r="D62" s="1155"/>
      <c r="E62" s="1155"/>
      <c r="F62" s="1155"/>
      <c r="G62" s="1155"/>
      <c r="H62" s="1155"/>
    </row>
    <row r="63" spans="1:8" ht="15" customHeight="1">
      <c r="A63" s="1154" t="s">
        <v>4</v>
      </c>
      <c r="B63" s="1156" t="s">
        <v>5</v>
      </c>
      <c r="C63" s="1156" t="s">
        <v>6</v>
      </c>
      <c r="D63" s="615" t="s">
        <v>7</v>
      </c>
      <c r="E63" s="615" t="s">
        <v>8</v>
      </c>
      <c r="F63" s="615" t="s">
        <v>9</v>
      </c>
      <c r="G63" s="615" t="s">
        <v>10</v>
      </c>
      <c r="H63" s="615" t="s">
        <v>11</v>
      </c>
    </row>
    <row r="64" spans="1:8" ht="15">
      <c r="A64" s="1154"/>
      <c r="B64" s="1157"/>
      <c r="C64" s="1157"/>
      <c r="D64" s="618" t="s">
        <v>12</v>
      </c>
      <c r="E64" s="618" t="s">
        <v>13</v>
      </c>
      <c r="F64" s="619" t="s">
        <v>214</v>
      </c>
      <c r="G64" s="619" t="s">
        <v>214</v>
      </c>
      <c r="H64" s="618" t="s">
        <v>15</v>
      </c>
    </row>
    <row r="65" spans="1:8" ht="15.75">
      <c r="A65" s="18">
        <v>1</v>
      </c>
      <c r="B65" s="19" t="s">
        <v>36</v>
      </c>
      <c r="C65" s="52">
        <v>14</v>
      </c>
      <c r="D65" s="53">
        <v>397.7961</v>
      </c>
      <c r="E65" s="52">
        <v>108063.48</v>
      </c>
      <c r="F65" s="54">
        <v>4521327</v>
      </c>
      <c r="G65" s="52">
        <v>3566095</v>
      </c>
      <c r="H65" s="52">
        <v>18</v>
      </c>
    </row>
    <row r="66" spans="1:8" ht="15.75">
      <c r="A66" s="18">
        <v>2</v>
      </c>
      <c r="B66" s="19" t="s">
        <v>50</v>
      </c>
      <c r="C66" s="52">
        <v>2</v>
      </c>
      <c r="D66" s="53">
        <v>9.9</v>
      </c>
      <c r="E66" s="56">
        <v>2339.89</v>
      </c>
      <c r="F66" s="54">
        <v>472658</v>
      </c>
      <c r="G66" s="52">
        <v>65517</v>
      </c>
      <c r="H66" s="52">
        <v>10</v>
      </c>
    </row>
    <row r="67" spans="1:8" ht="15.75">
      <c r="A67" s="18">
        <v>3</v>
      </c>
      <c r="B67" s="19" t="s">
        <v>51</v>
      </c>
      <c r="C67" s="52">
        <v>1</v>
      </c>
      <c r="D67" s="53">
        <v>5</v>
      </c>
      <c r="E67" s="52"/>
      <c r="F67" s="57"/>
      <c r="G67" s="52"/>
      <c r="H67" s="52"/>
    </row>
    <row r="68" spans="1:8" ht="18.75">
      <c r="A68" s="659"/>
      <c r="B68" s="648" t="s">
        <v>19</v>
      </c>
      <c r="C68" s="660">
        <f aca="true" t="shared" si="4" ref="C68:H68">SUM(C65:C67)</f>
        <v>17</v>
      </c>
      <c r="D68" s="660">
        <f t="shared" si="4"/>
        <v>412.6961</v>
      </c>
      <c r="E68" s="645">
        <f t="shared" si="4"/>
        <v>110403.37</v>
      </c>
      <c r="F68" s="645">
        <f t="shared" si="4"/>
        <v>4993985</v>
      </c>
      <c r="G68" s="645">
        <f t="shared" si="4"/>
        <v>3631612</v>
      </c>
      <c r="H68" s="660">
        <f t="shared" si="4"/>
        <v>28</v>
      </c>
    </row>
    <row r="69" spans="1:8" ht="20.25">
      <c r="A69" s="10"/>
      <c r="B69" s="11"/>
      <c r="C69" s="12"/>
      <c r="D69" s="30"/>
      <c r="E69" s="14"/>
      <c r="F69" s="14"/>
      <c r="G69" s="14"/>
      <c r="H69" s="15"/>
    </row>
    <row r="70" spans="1:8" ht="20.25" customHeight="1">
      <c r="A70" s="1161" t="s">
        <v>220</v>
      </c>
      <c r="B70" s="1161"/>
      <c r="C70" s="1161"/>
      <c r="D70" s="1161"/>
      <c r="E70" s="1161"/>
      <c r="F70" s="1161"/>
      <c r="G70" s="1161"/>
      <c r="H70" s="1161"/>
    </row>
    <row r="71" spans="1:8" ht="15" customHeight="1">
      <c r="A71" s="1154" t="s">
        <v>4</v>
      </c>
      <c r="B71" s="1156" t="s">
        <v>5</v>
      </c>
      <c r="C71" s="1156" t="s">
        <v>6</v>
      </c>
      <c r="D71" s="615" t="s">
        <v>7</v>
      </c>
      <c r="E71" s="615" t="s">
        <v>8</v>
      </c>
      <c r="F71" s="615" t="s">
        <v>9</v>
      </c>
      <c r="G71" s="615" t="s">
        <v>10</v>
      </c>
      <c r="H71" s="615" t="s">
        <v>11</v>
      </c>
    </row>
    <row r="72" spans="1:8" ht="15">
      <c r="A72" s="1154"/>
      <c r="B72" s="1157"/>
      <c r="C72" s="1157"/>
      <c r="D72" s="618" t="s">
        <v>12</v>
      </c>
      <c r="E72" s="618" t="s">
        <v>13</v>
      </c>
      <c r="F72" s="619" t="s">
        <v>214</v>
      </c>
      <c r="G72" s="619" t="s">
        <v>214</v>
      </c>
      <c r="H72" s="618" t="s">
        <v>15</v>
      </c>
    </row>
    <row r="73" spans="1:8" ht="15.75">
      <c r="A73" s="18">
        <v>1</v>
      </c>
      <c r="B73" s="19" t="s">
        <v>59</v>
      </c>
      <c r="C73" s="571">
        <v>0</v>
      </c>
      <c r="D73" s="572">
        <v>0</v>
      </c>
      <c r="E73" s="59">
        <v>269</v>
      </c>
      <c r="F73" s="60">
        <v>59830980</v>
      </c>
      <c r="G73" s="60">
        <v>3891214</v>
      </c>
      <c r="H73" s="58">
        <v>0</v>
      </c>
    </row>
    <row r="74" spans="1:8" ht="15.75">
      <c r="A74" s="18">
        <v>2</v>
      </c>
      <c r="B74" s="19" t="s">
        <v>31</v>
      </c>
      <c r="C74" s="58">
        <v>4</v>
      </c>
      <c r="D74" s="19">
        <v>18.9</v>
      </c>
      <c r="E74" s="59">
        <v>1835</v>
      </c>
      <c r="F74" s="60">
        <v>660600</v>
      </c>
      <c r="G74" s="60">
        <v>79846</v>
      </c>
      <c r="H74" s="58">
        <v>38</v>
      </c>
    </row>
    <row r="75" spans="1:8" ht="15.75">
      <c r="A75" s="18">
        <v>3</v>
      </c>
      <c r="B75" s="19" t="s">
        <v>47</v>
      </c>
      <c r="C75" s="58">
        <v>23</v>
      </c>
      <c r="D75" s="19">
        <v>405.1686</v>
      </c>
      <c r="E75" s="58">
        <v>229883</v>
      </c>
      <c r="F75" s="60">
        <v>68122110</v>
      </c>
      <c r="G75" s="60">
        <v>8219624</v>
      </c>
      <c r="H75" s="58">
        <v>212</v>
      </c>
    </row>
    <row r="76" spans="1:8" ht="15.75">
      <c r="A76" s="18">
        <v>4</v>
      </c>
      <c r="B76" s="19" t="s">
        <v>21</v>
      </c>
      <c r="C76" s="58">
        <v>594</v>
      </c>
      <c r="D76" s="19">
        <v>3173.44</v>
      </c>
      <c r="E76" s="60">
        <v>590300</v>
      </c>
      <c r="F76" s="60">
        <v>177090000</v>
      </c>
      <c r="G76" s="60">
        <v>47242466</v>
      </c>
      <c r="H76" s="58">
        <v>2555</v>
      </c>
    </row>
    <row r="77" spans="1:8" ht="21" customHeight="1">
      <c r="A77" s="18">
        <v>5</v>
      </c>
      <c r="B77" s="19" t="s">
        <v>62</v>
      </c>
      <c r="C77" s="58">
        <v>1</v>
      </c>
      <c r="D77" s="607">
        <v>4.27</v>
      </c>
      <c r="E77" s="58">
        <v>714</v>
      </c>
      <c r="F77" s="60">
        <v>714000</v>
      </c>
      <c r="G77" s="60">
        <v>56810</v>
      </c>
      <c r="H77" s="58">
        <v>10</v>
      </c>
    </row>
    <row r="78" spans="1:8" ht="15.75">
      <c r="A78" s="18">
        <v>6</v>
      </c>
      <c r="B78" s="19" t="s">
        <v>33</v>
      </c>
      <c r="C78" s="58">
        <v>2</v>
      </c>
      <c r="D78" s="19">
        <v>1989.2844</v>
      </c>
      <c r="E78" s="60">
        <v>429495</v>
      </c>
      <c r="F78" s="60">
        <v>396423885</v>
      </c>
      <c r="G78" s="60">
        <v>43295955</v>
      </c>
      <c r="H78" s="58">
        <v>564</v>
      </c>
    </row>
    <row r="79" spans="1:8" ht="15.75">
      <c r="A79" s="18">
        <v>7</v>
      </c>
      <c r="B79" s="19" t="s">
        <v>60</v>
      </c>
      <c r="C79" s="58">
        <v>3</v>
      </c>
      <c r="D79" s="19">
        <v>154</v>
      </c>
      <c r="E79" s="58">
        <v>0</v>
      </c>
      <c r="F79" s="60">
        <v>0</v>
      </c>
      <c r="G79" s="60">
        <v>8115</v>
      </c>
      <c r="H79" s="58">
        <v>5</v>
      </c>
    </row>
    <row r="80" spans="1:8" ht="15.75">
      <c r="A80" s="18">
        <v>8</v>
      </c>
      <c r="B80" s="19" t="s">
        <v>91</v>
      </c>
      <c r="C80" s="38">
        <v>0</v>
      </c>
      <c r="D80" s="19">
        <v>0</v>
      </c>
      <c r="E80" s="490">
        <v>110170</v>
      </c>
      <c r="F80" s="477"/>
      <c r="G80" s="26">
        <v>0</v>
      </c>
      <c r="H80" s="38">
        <v>0</v>
      </c>
    </row>
    <row r="81" spans="1:8" ht="19.5" customHeight="1">
      <c r="A81" s="18">
        <v>9</v>
      </c>
      <c r="B81" s="19" t="s">
        <v>55</v>
      </c>
      <c r="C81" s="58">
        <v>1</v>
      </c>
      <c r="D81" s="607">
        <v>1200</v>
      </c>
      <c r="E81" s="352">
        <v>6149424</v>
      </c>
      <c r="F81" s="60">
        <v>13528732800</v>
      </c>
      <c r="G81" s="60">
        <v>6935831262</v>
      </c>
      <c r="H81" s="58">
        <v>2962</v>
      </c>
    </row>
    <row r="82" spans="1:8" ht="15.75">
      <c r="A82" s="18">
        <v>10</v>
      </c>
      <c r="B82" s="19" t="s">
        <v>26</v>
      </c>
      <c r="C82" s="352">
        <v>2</v>
      </c>
      <c r="D82" s="365">
        <v>33.88</v>
      </c>
      <c r="E82" s="352">
        <v>2884</v>
      </c>
      <c r="F82" s="573">
        <v>2884000</v>
      </c>
      <c r="G82" s="419">
        <v>705872</v>
      </c>
      <c r="H82" s="352">
        <v>50</v>
      </c>
    </row>
    <row r="83" spans="1:8" ht="18" customHeight="1">
      <c r="A83" s="18">
        <v>11</v>
      </c>
      <c r="B83" s="19" t="s">
        <v>64</v>
      </c>
      <c r="C83" s="366">
        <v>1</v>
      </c>
      <c r="D83" s="374">
        <v>4</v>
      </c>
      <c r="E83" s="375">
        <v>3510</v>
      </c>
      <c r="F83" s="375">
        <v>877500</v>
      </c>
      <c r="G83" s="375">
        <v>50000</v>
      </c>
      <c r="H83" s="366">
        <v>4</v>
      </c>
    </row>
    <row r="84" spans="1:8" ht="15.75">
      <c r="A84" s="18">
        <v>12</v>
      </c>
      <c r="B84" s="19" t="s">
        <v>17</v>
      </c>
      <c r="C84" s="20">
        <v>2</v>
      </c>
      <c r="D84" s="32">
        <v>9.72</v>
      </c>
      <c r="E84" s="46"/>
      <c r="F84" s="46"/>
      <c r="G84" s="46">
        <v>39000</v>
      </c>
      <c r="H84" s="20"/>
    </row>
    <row r="85" spans="1:8" ht="15.75">
      <c r="A85" s="18">
        <v>13</v>
      </c>
      <c r="B85" s="66" t="s">
        <v>50</v>
      </c>
      <c r="C85" s="58">
        <v>5</v>
      </c>
      <c r="D85" s="19">
        <v>22.14</v>
      </c>
      <c r="E85" s="58">
        <v>101575</v>
      </c>
      <c r="F85" s="60">
        <v>20315000</v>
      </c>
      <c r="G85" s="60">
        <v>1561205</v>
      </c>
      <c r="H85" s="58">
        <v>47</v>
      </c>
    </row>
    <row r="86" spans="1:8" ht="15.75">
      <c r="A86" s="18">
        <v>14</v>
      </c>
      <c r="B86" s="19" t="s">
        <v>36</v>
      </c>
      <c r="C86" s="58">
        <v>1</v>
      </c>
      <c r="D86" s="19">
        <v>5</v>
      </c>
      <c r="E86" s="58">
        <v>0</v>
      </c>
      <c r="F86" s="60">
        <v>0</v>
      </c>
      <c r="G86" s="60">
        <v>0</v>
      </c>
      <c r="H86" s="58">
        <v>0</v>
      </c>
    </row>
    <row r="87" spans="1:8" ht="15.75">
      <c r="A87" s="18">
        <v>15</v>
      </c>
      <c r="B87" s="19" t="s">
        <v>263</v>
      </c>
      <c r="C87" s="571">
        <v>0</v>
      </c>
      <c r="D87" s="572">
        <v>0</v>
      </c>
      <c r="E87" s="60">
        <v>123</v>
      </c>
      <c r="F87" s="60">
        <v>6678634725</v>
      </c>
      <c r="G87" s="60">
        <v>367736258</v>
      </c>
      <c r="H87" s="58">
        <v>0</v>
      </c>
    </row>
    <row r="88" spans="1:8" ht="15.75">
      <c r="A88" s="18">
        <v>16</v>
      </c>
      <c r="B88" s="19" t="s">
        <v>25</v>
      </c>
      <c r="C88" s="58">
        <v>29</v>
      </c>
      <c r="D88" s="19">
        <v>3021.0027</v>
      </c>
      <c r="E88" s="58">
        <v>367137</v>
      </c>
      <c r="F88" s="60">
        <v>344505090</v>
      </c>
      <c r="G88" s="60">
        <v>63219691</v>
      </c>
      <c r="H88" s="58">
        <v>580</v>
      </c>
    </row>
    <row r="89" spans="1:8" ht="15.75">
      <c r="A89" s="18">
        <v>17</v>
      </c>
      <c r="B89" s="19" t="s">
        <v>57</v>
      </c>
      <c r="C89" s="38">
        <v>0</v>
      </c>
      <c r="D89" s="19">
        <v>0</v>
      </c>
      <c r="E89" s="60">
        <v>1331922</v>
      </c>
      <c r="F89" s="60"/>
      <c r="G89" s="26">
        <v>0</v>
      </c>
      <c r="H89" s="38">
        <v>0</v>
      </c>
    </row>
    <row r="90" spans="1:8" ht="15.75">
      <c r="A90" s="659"/>
      <c r="B90" s="660" t="s">
        <v>19</v>
      </c>
      <c r="C90" s="660">
        <f>SUM(C73:C89)</f>
        <v>668</v>
      </c>
      <c r="D90" s="660">
        <f>SUM(D73:D89)</f>
        <v>10040.8057</v>
      </c>
      <c r="E90" s="645">
        <f>E73+E74+E75+E76+E77+E78+E79+E80+E81+E82+E83+E84+E85+E86+E87+E88+E89</f>
        <v>9319241</v>
      </c>
      <c r="F90" s="645">
        <f>SUM(F73:F89)</f>
        <v>21278790690</v>
      </c>
      <c r="G90" s="645">
        <f>SUM(G73:G89)</f>
        <v>7471937318</v>
      </c>
      <c r="H90" s="660">
        <f>SUM(H73:H89)</f>
        <v>7027</v>
      </c>
    </row>
    <row r="91" spans="1:8" ht="15">
      <c r="A91" s="139"/>
      <c r="B91" s="139"/>
      <c r="C91" s="139"/>
      <c r="D91" s="139"/>
      <c r="E91" s="139"/>
      <c r="F91" s="139"/>
      <c r="G91" s="139"/>
      <c r="H91" s="139"/>
    </row>
    <row r="92" spans="1:8" ht="20.25" customHeight="1">
      <c r="A92" s="1155" t="s">
        <v>221</v>
      </c>
      <c r="B92" s="1155"/>
      <c r="C92" s="1155"/>
      <c r="D92" s="1155"/>
      <c r="E92" s="1155"/>
      <c r="F92" s="1155"/>
      <c r="G92" s="1155"/>
      <c r="H92" s="1155"/>
    </row>
    <row r="93" spans="1:8" ht="15" customHeight="1">
      <c r="A93" s="1154" t="s">
        <v>4</v>
      </c>
      <c r="B93" s="1156" t="s">
        <v>5</v>
      </c>
      <c r="C93" s="1156" t="s">
        <v>6</v>
      </c>
      <c r="D93" s="615" t="s">
        <v>7</v>
      </c>
      <c r="E93" s="615" t="s">
        <v>8</v>
      </c>
      <c r="F93" s="615" t="s">
        <v>9</v>
      </c>
      <c r="G93" s="615" t="s">
        <v>10</v>
      </c>
      <c r="H93" s="615" t="s">
        <v>11</v>
      </c>
    </row>
    <row r="94" spans="1:8" ht="15">
      <c r="A94" s="1154"/>
      <c r="B94" s="1157"/>
      <c r="C94" s="1157"/>
      <c r="D94" s="618" t="s">
        <v>12</v>
      </c>
      <c r="E94" s="618" t="s">
        <v>13</v>
      </c>
      <c r="F94" s="619" t="s">
        <v>214</v>
      </c>
      <c r="G94" s="619" t="s">
        <v>214</v>
      </c>
      <c r="H94" s="618" t="s">
        <v>15</v>
      </c>
    </row>
    <row r="95" spans="1:8" ht="15.75">
      <c r="A95" s="18">
        <v>1</v>
      </c>
      <c r="B95" s="19" t="s">
        <v>48</v>
      </c>
      <c r="C95" s="20">
        <v>18</v>
      </c>
      <c r="D95" s="32">
        <v>5379.45</v>
      </c>
      <c r="E95" s="46">
        <v>1430438</v>
      </c>
      <c r="F95" s="46">
        <v>679458050</v>
      </c>
      <c r="G95" s="46">
        <v>254545877</v>
      </c>
      <c r="H95" s="20">
        <v>450</v>
      </c>
    </row>
    <row r="96" spans="1:8" ht="15.75">
      <c r="A96" s="18">
        <v>2</v>
      </c>
      <c r="B96" s="19" t="s">
        <v>46</v>
      </c>
      <c r="C96" s="20">
        <v>1</v>
      </c>
      <c r="D96" s="32">
        <v>531</v>
      </c>
      <c r="E96" s="46">
        <v>5697</v>
      </c>
      <c r="F96" s="46">
        <v>7406100</v>
      </c>
      <c r="G96" s="46">
        <v>2000000</v>
      </c>
      <c r="H96" s="20">
        <v>3</v>
      </c>
    </row>
    <row r="97" spans="1:8" ht="15.75">
      <c r="A97" s="64">
        <v>3</v>
      </c>
      <c r="B97" s="19" t="s">
        <v>43</v>
      </c>
      <c r="C97" s="20">
        <v>3</v>
      </c>
      <c r="D97" s="32">
        <v>3012.94</v>
      </c>
      <c r="E97" s="46">
        <v>2314912</v>
      </c>
      <c r="F97" s="46">
        <v>3472368000</v>
      </c>
      <c r="G97" s="46">
        <v>128416717</v>
      </c>
      <c r="H97" s="20">
        <v>150</v>
      </c>
    </row>
    <row r="98" spans="1:8" ht="15.75">
      <c r="A98" s="18">
        <v>4</v>
      </c>
      <c r="B98" s="19" t="s">
        <v>66</v>
      </c>
      <c r="C98" s="20">
        <v>91</v>
      </c>
      <c r="D98" s="32">
        <v>5303.75</v>
      </c>
      <c r="E98" s="46">
        <v>2474187</v>
      </c>
      <c r="F98" s="46">
        <v>1360802850</v>
      </c>
      <c r="G98" s="46">
        <v>85222825</v>
      </c>
      <c r="H98" s="20">
        <v>650</v>
      </c>
    </row>
    <row r="99" spans="1:8" ht="18.75">
      <c r="A99" s="659"/>
      <c r="B99" s="648" t="s">
        <v>19</v>
      </c>
      <c r="C99" s="660">
        <f aca="true" t="shared" si="5" ref="C99:H99">SUM(C95:C98)</f>
        <v>113</v>
      </c>
      <c r="D99" s="666">
        <f t="shared" si="5"/>
        <v>14227.14</v>
      </c>
      <c r="E99" s="645">
        <f t="shared" si="5"/>
        <v>6225234</v>
      </c>
      <c r="F99" s="645">
        <f t="shared" si="5"/>
        <v>5520035000</v>
      </c>
      <c r="G99" s="645">
        <f t="shared" si="5"/>
        <v>470185419</v>
      </c>
      <c r="H99" s="660">
        <f t="shared" si="5"/>
        <v>1253</v>
      </c>
    </row>
    <row r="100" spans="1:8" ht="15">
      <c r="A100" s="139"/>
      <c r="B100" s="139"/>
      <c r="C100" s="139"/>
      <c r="D100" s="139"/>
      <c r="E100" s="139"/>
      <c r="F100" s="139"/>
      <c r="G100" s="139"/>
      <c r="H100" s="139"/>
    </row>
    <row r="101" spans="1:8" ht="20.25" customHeight="1">
      <c r="A101" s="1155" t="s">
        <v>250</v>
      </c>
      <c r="B101" s="1155"/>
      <c r="C101" s="1155"/>
      <c r="D101" s="1155"/>
      <c r="E101" s="1155"/>
      <c r="F101" s="1155"/>
      <c r="G101" s="1155"/>
      <c r="H101" s="1155"/>
    </row>
    <row r="102" spans="1:8" ht="15" customHeight="1">
      <c r="A102" s="1154" t="s">
        <v>4</v>
      </c>
      <c r="B102" s="1156" t="s">
        <v>5</v>
      </c>
      <c r="C102" s="1156" t="s">
        <v>6</v>
      </c>
      <c r="D102" s="615" t="s">
        <v>7</v>
      </c>
      <c r="E102" s="615" t="s">
        <v>8</v>
      </c>
      <c r="F102" s="615" t="s">
        <v>9</v>
      </c>
      <c r="G102" s="615" t="s">
        <v>10</v>
      </c>
      <c r="H102" s="615" t="s">
        <v>11</v>
      </c>
    </row>
    <row r="103" spans="1:8" ht="15">
      <c r="A103" s="1154"/>
      <c r="B103" s="1157"/>
      <c r="C103" s="1157"/>
      <c r="D103" s="618" t="s">
        <v>12</v>
      </c>
      <c r="E103" s="618" t="s">
        <v>13</v>
      </c>
      <c r="F103" s="619" t="s">
        <v>214</v>
      </c>
      <c r="G103" s="619" t="s">
        <v>214</v>
      </c>
      <c r="H103" s="618" t="s">
        <v>15</v>
      </c>
    </row>
    <row r="104" spans="1:8" ht="15.75">
      <c r="A104" s="18">
        <v>1</v>
      </c>
      <c r="B104" s="595" t="s">
        <v>27</v>
      </c>
      <c r="C104" s="593">
        <v>1</v>
      </c>
      <c r="D104" s="24">
        <v>1516.8</v>
      </c>
      <c r="E104" s="24">
        <v>919180</v>
      </c>
      <c r="F104" s="594">
        <v>156260770</v>
      </c>
      <c r="G104" s="594">
        <v>57908394</v>
      </c>
      <c r="H104" s="24">
        <v>73</v>
      </c>
    </row>
    <row r="105" spans="1:8" ht="15.75">
      <c r="A105" s="18">
        <v>2</v>
      </c>
      <c r="B105" s="19" t="s">
        <v>47</v>
      </c>
      <c r="C105" s="221">
        <v>2</v>
      </c>
      <c r="D105" s="222">
        <v>65.5</v>
      </c>
      <c r="E105" s="223">
        <v>30519</v>
      </c>
      <c r="F105" s="5">
        <v>7629750</v>
      </c>
      <c r="G105" s="221">
        <v>725490</v>
      </c>
      <c r="H105" s="221">
        <v>14</v>
      </c>
    </row>
    <row r="106" spans="1:8" ht="15.75">
      <c r="A106" s="18">
        <v>3</v>
      </c>
      <c r="B106" s="373" t="s">
        <v>36</v>
      </c>
      <c r="C106" s="366">
        <v>1</v>
      </c>
      <c r="D106" s="374">
        <v>125</v>
      </c>
      <c r="E106" s="375">
        <v>98869</v>
      </c>
      <c r="F106" s="375">
        <v>84038650</v>
      </c>
      <c r="G106" s="375">
        <v>8900000</v>
      </c>
      <c r="H106" s="366">
        <v>142</v>
      </c>
    </row>
    <row r="107" spans="1:8" ht="15.75">
      <c r="A107" s="27">
        <v>4</v>
      </c>
      <c r="B107" s="373" t="s">
        <v>41</v>
      </c>
      <c r="C107" s="376"/>
      <c r="D107" s="377"/>
      <c r="E107" s="324"/>
      <c r="F107" s="324"/>
      <c r="G107" s="324"/>
      <c r="H107" s="378"/>
    </row>
    <row r="108" spans="1:8" ht="18.75">
      <c r="A108" s="636"/>
      <c r="B108" s="637" t="s">
        <v>19</v>
      </c>
      <c r="C108" s="633">
        <f aca="true" t="shared" si="6" ref="C108:H108">SUM(C104:C107)</f>
        <v>4</v>
      </c>
      <c r="D108" s="665">
        <f t="shared" si="6"/>
        <v>1707.3</v>
      </c>
      <c r="E108" s="633">
        <f t="shared" si="6"/>
        <v>1048568</v>
      </c>
      <c r="F108" s="633">
        <f t="shared" si="6"/>
        <v>247929170</v>
      </c>
      <c r="G108" s="633">
        <f t="shared" si="6"/>
        <v>67533884</v>
      </c>
      <c r="H108" s="633">
        <f t="shared" si="6"/>
        <v>229</v>
      </c>
    </row>
    <row r="109" spans="1:8" ht="18.75">
      <c r="A109" s="10"/>
      <c r="B109" s="47"/>
      <c r="C109" s="49"/>
      <c r="D109" s="68"/>
      <c r="E109" s="50"/>
      <c r="F109" s="50"/>
      <c r="G109" s="50"/>
      <c r="H109" s="49"/>
    </row>
    <row r="110" spans="1:8" ht="20.25" customHeight="1">
      <c r="A110" s="1155" t="s">
        <v>223</v>
      </c>
      <c r="B110" s="1155"/>
      <c r="C110" s="1155"/>
      <c r="D110" s="1155"/>
      <c r="E110" s="1155"/>
      <c r="F110" s="1155"/>
      <c r="G110" s="1155"/>
      <c r="H110" s="1155"/>
    </row>
    <row r="111" spans="1:8" ht="15" customHeight="1">
      <c r="A111" s="1154" t="s">
        <v>4</v>
      </c>
      <c r="B111" s="1156" t="s">
        <v>5</v>
      </c>
      <c r="C111" s="1156" t="s">
        <v>6</v>
      </c>
      <c r="D111" s="615" t="s">
        <v>7</v>
      </c>
      <c r="E111" s="615" t="s">
        <v>8</v>
      </c>
      <c r="F111" s="615" t="s">
        <v>9</v>
      </c>
      <c r="G111" s="615" t="s">
        <v>10</v>
      </c>
      <c r="H111" s="615" t="s">
        <v>11</v>
      </c>
    </row>
    <row r="112" spans="1:8" ht="15">
      <c r="A112" s="1154"/>
      <c r="B112" s="1157"/>
      <c r="C112" s="1157"/>
      <c r="D112" s="618" t="s">
        <v>12</v>
      </c>
      <c r="E112" s="618" t="s">
        <v>13</v>
      </c>
      <c r="F112" s="619" t="s">
        <v>214</v>
      </c>
      <c r="G112" s="619" t="s">
        <v>214</v>
      </c>
      <c r="H112" s="618" t="s">
        <v>15</v>
      </c>
    </row>
    <row r="113" spans="1:8" ht="15.75">
      <c r="A113" s="361">
        <v>1</v>
      </c>
      <c r="B113" s="365" t="s">
        <v>47</v>
      </c>
      <c r="C113" s="472">
        <v>14</v>
      </c>
      <c r="D113" s="365">
        <v>211.373</v>
      </c>
      <c r="E113" s="323">
        <v>454055</v>
      </c>
      <c r="F113" s="323">
        <v>127096200</v>
      </c>
      <c r="G113" s="371">
        <v>4997990</v>
      </c>
      <c r="H113" s="370">
        <v>30</v>
      </c>
    </row>
    <row r="114" spans="1:8" ht="15.75">
      <c r="A114" s="596">
        <v>2</v>
      </c>
      <c r="B114" s="507" t="s">
        <v>27</v>
      </c>
      <c r="C114" s="370">
        <v>9</v>
      </c>
      <c r="D114" s="365">
        <v>4972.097</v>
      </c>
      <c r="E114" s="323">
        <v>12317747</v>
      </c>
      <c r="F114" s="323">
        <v>2280534779</v>
      </c>
      <c r="G114" s="371">
        <v>781686213</v>
      </c>
      <c r="H114" s="370">
        <v>498</v>
      </c>
    </row>
    <row r="115" spans="1:8" ht="15.75">
      <c r="A115" s="361">
        <v>3</v>
      </c>
      <c r="B115" s="373" t="s">
        <v>17</v>
      </c>
      <c r="C115" s="352">
        <v>23</v>
      </c>
      <c r="D115" s="508">
        <v>103.7177</v>
      </c>
      <c r="E115" s="355">
        <v>23128</v>
      </c>
      <c r="F115" s="46">
        <v>11564000</v>
      </c>
      <c r="G115" s="372">
        <v>3303290</v>
      </c>
      <c r="H115" s="366">
        <v>100</v>
      </c>
    </row>
    <row r="116" spans="1:8" ht="15.75">
      <c r="A116" s="596">
        <v>4</v>
      </c>
      <c r="B116" s="19" t="s">
        <v>50</v>
      </c>
      <c r="C116" s="20">
        <v>36</v>
      </c>
      <c r="D116" s="19">
        <v>526.1259</v>
      </c>
      <c r="E116" s="65">
        <v>1153967</v>
      </c>
      <c r="F116" s="65">
        <v>261433360</v>
      </c>
      <c r="G116" s="65">
        <v>41808512</v>
      </c>
      <c r="H116" s="38">
        <v>300</v>
      </c>
    </row>
    <row r="117" spans="1:8" ht="15.75">
      <c r="A117" s="361">
        <v>5</v>
      </c>
      <c r="B117" s="19" t="s">
        <v>36</v>
      </c>
      <c r="C117" s="20">
        <v>5</v>
      </c>
      <c r="D117" s="19">
        <v>20.99</v>
      </c>
      <c r="E117" s="46">
        <v>118460</v>
      </c>
      <c r="F117" s="46">
        <v>35538000</v>
      </c>
      <c r="G117" s="46">
        <v>6021000</v>
      </c>
      <c r="H117" s="38"/>
    </row>
    <row r="118" spans="1:8" ht="15.75">
      <c r="A118" s="506"/>
      <c r="B118" s="19"/>
      <c r="C118" s="175"/>
      <c r="D118" s="19"/>
      <c r="E118" s="303"/>
      <c r="F118" s="303"/>
      <c r="G118" s="303"/>
      <c r="H118" s="493"/>
    </row>
    <row r="119" spans="1:8" ht="15.75">
      <c r="A119" s="89"/>
      <c r="B119" s="19"/>
      <c r="C119" s="20"/>
      <c r="D119" s="32"/>
      <c r="E119" s="46"/>
      <c r="F119" s="46"/>
      <c r="G119" s="65"/>
      <c r="H119" s="20"/>
    </row>
    <row r="120" spans="1:8" ht="18.75">
      <c r="A120" s="659"/>
      <c r="B120" s="648" t="s">
        <v>19</v>
      </c>
      <c r="C120" s="660">
        <f aca="true" t="shared" si="7" ref="C120:H120">SUM(C113:C119)</f>
        <v>87</v>
      </c>
      <c r="D120" s="661">
        <f t="shared" si="7"/>
        <v>5834.303599999999</v>
      </c>
      <c r="E120" s="645">
        <f t="shared" si="7"/>
        <v>14067357</v>
      </c>
      <c r="F120" s="645">
        <f t="shared" si="7"/>
        <v>2716166339</v>
      </c>
      <c r="G120" s="645">
        <f t="shared" si="7"/>
        <v>837817005</v>
      </c>
      <c r="H120" s="660">
        <f t="shared" si="7"/>
        <v>928</v>
      </c>
    </row>
    <row r="121" spans="1:8" ht="15">
      <c r="A121" s="139"/>
      <c r="B121" s="139"/>
      <c r="C121" s="139"/>
      <c r="D121" s="139"/>
      <c r="E121" s="139"/>
      <c r="F121" s="139"/>
      <c r="G121" s="139"/>
      <c r="H121" s="139"/>
    </row>
    <row r="122" spans="1:8" ht="20.25" customHeight="1">
      <c r="A122" s="1155" t="s">
        <v>225</v>
      </c>
      <c r="B122" s="1155"/>
      <c r="C122" s="1155"/>
      <c r="D122" s="1155"/>
      <c r="E122" s="1155"/>
      <c r="F122" s="1155"/>
      <c r="G122" s="1155"/>
      <c r="H122" s="1155"/>
    </row>
    <row r="123" spans="1:8" ht="15" customHeight="1">
      <c r="A123" s="1154" t="s">
        <v>4</v>
      </c>
      <c r="B123" s="1156" t="s">
        <v>5</v>
      </c>
      <c r="C123" s="1156" t="s">
        <v>6</v>
      </c>
      <c r="D123" s="615" t="s">
        <v>7</v>
      </c>
      <c r="E123" s="615" t="s">
        <v>8</v>
      </c>
      <c r="F123" s="615" t="s">
        <v>9</v>
      </c>
      <c r="G123" s="615" t="s">
        <v>10</v>
      </c>
      <c r="H123" s="615" t="s">
        <v>11</v>
      </c>
    </row>
    <row r="124" spans="1:8" ht="15">
      <c r="A124" s="1154"/>
      <c r="B124" s="1157"/>
      <c r="C124" s="1157"/>
      <c r="D124" s="618" t="s">
        <v>12</v>
      </c>
      <c r="E124" s="618" t="s">
        <v>13</v>
      </c>
      <c r="F124" s="619" t="s">
        <v>214</v>
      </c>
      <c r="G124" s="619" t="s">
        <v>214</v>
      </c>
      <c r="H124" s="618" t="s">
        <v>15</v>
      </c>
    </row>
    <row r="125" spans="1:8" ht="15.75">
      <c r="A125" s="64">
        <v>1</v>
      </c>
      <c r="B125" s="19" t="s">
        <v>36</v>
      </c>
      <c r="C125" s="23">
        <v>4</v>
      </c>
      <c r="D125" s="19">
        <v>143.645</v>
      </c>
      <c r="E125" s="22">
        <v>28735</v>
      </c>
      <c r="F125" s="277">
        <v>6034350</v>
      </c>
      <c r="G125" s="313">
        <v>890000</v>
      </c>
      <c r="H125" s="310">
        <v>50</v>
      </c>
    </row>
    <row r="126" spans="1:8" ht="15.75">
      <c r="A126" s="64">
        <v>2</v>
      </c>
      <c r="B126" s="19" t="s">
        <v>17</v>
      </c>
      <c r="C126" s="65">
        <v>1</v>
      </c>
      <c r="D126" s="19">
        <v>99.39</v>
      </c>
      <c r="E126" s="43"/>
      <c r="F126" s="342"/>
      <c r="G126" s="345">
        <v>5000</v>
      </c>
      <c r="H126" s="346">
        <v>3</v>
      </c>
    </row>
    <row r="127" spans="1:8" ht="15.75">
      <c r="A127" s="64">
        <v>3</v>
      </c>
      <c r="B127" s="19" t="s">
        <v>25</v>
      </c>
      <c r="C127" s="65">
        <v>4</v>
      </c>
      <c r="D127" s="19">
        <v>44.9994</v>
      </c>
      <c r="E127" s="43"/>
      <c r="F127" s="342"/>
      <c r="G127" s="345">
        <v>52000</v>
      </c>
      <c r="H127" s="346">
        <v>5</v>
      </c>
    </row>
    <row r="128" spans="1:8" ht="15.75">
      <c r="A128" s="284">
        <v>4</v>
      </c>
      <c r="B128" s="405" t="s">
        <v>39</v>
      </c>
      <c r="C128" s="23">
        <v>1</v>
      </c>
      <c r="D128" s="19">
        <v>32.37</v>
      </c>
      <c r="E128" s="22"/>
      <c r="F128" s="22"/>
      <c r="G128" s="343"/>
      <c r="H128" s="344">
        <v>5</v>
      </c>
    </row>
    <row r="129" spans="1:8" ht="15.75">
      <c r="A129" s="473"/>
      <c r="B129" s="365"/>
      <c r="C129" s="322"/>
      <c r="D129" s="42"/>
      <c r="E129" s="43"/>
      <c r="F129" s="69"/>
      <c r="G129" s="69"/>
      <c r="H129" s="24"/>
    </row>
    <row r="130" spans="1:8" ht="18.75">
      <c r="A130" s="662"/>
      <c r="B130" s="663" t="s">
        <v>19</v>
      </c>
      <c r="C130" s="664">
        <f aca="true" t="shared" si="8" ref="C130:H130">SUM(C125:C129)</f>
        <v>10</v>
      </c>
      <c r="D130" s="664">
        <f t="shared" si="8"/>
        <v>320.4044</v>
      </c>
      <c r="E130" s="664">
        <f t="shared" si="8"/>
        <v>28735</v>
      </c>
      <c r="F130" s="664">
        <f t="shared" si="8"/>
        <v>6034350</v>
      </c>
      <c r="G130" s="664">
        <f t="shared" si="8"/>
        <v>947000</v>
      </c>
      <c r="H130" s="664">
        <f t="shared" si="8"/>
        <v>63</v>
      </c>
    </row>
    <row r="131" spans="1:8" ht="15">
      <c r="A131" s="285"/>
      <c r="B131" s="286"/>
      <c r="C131" s="287"/>
      <c r="D131" s="288"/>
      <c r="E131" s="289"/>
      <c r="F131" s="289"/>
      <c r="G131" s="289"/>
      <c r="H131" s="287"/>
    </row>
    <row r="132" spans="1:8" ht="20.25" customHeight="1">
      <c r="A132" s="1155" t="s">
        <v>227</v>
      </c>
      <c r="B132" s="1155"/>
      <c r="C132" s="1155"/>
      <c r="D132" s="1155"/>
      <c r="E132" s="1155"/>
      <c r="F132" s="1155"/>
      <c r="G132" s="1155"/>
      <c r="H132" s="1155"/>
    </row>
    <row r="133" spans="1:8" ht="15" customHeight="1">
      <c r="A133" s="1154" t="s">
        <v>4</v>
      </c>
      <c r="B133" s="1156" t="s">
        <v>5</v>
      </c>
      <c r="C133" s="1156" t="s">
        <v>6</v>
      </c>
      <c r="D133" s="615" t="s">
        <v>7</v>
      </c>
      <c r="E133" s="615" t="s">
        <v>8</v>
      </c>
      <c r="F133" s="615" t="s">
        <v>9</v>
      </c>
      <c r="G133" s="615" t="s">
        <v>10</v>
      </c>
      <c r="H133" s="615" t="s">
        <v>11</v>
      </c>
    </row>
    <row r="134" spans="1:8" ht="15">
      <c r="A134" s="1154"/>
      <c r="B134" s="1157"/>
      <c r="C134" s="1157"/>
      <c r="D134" s="618" t="s">
        <v>12</v>
      </c>
      <c r="E134" s="618" t="s">
        <v>13</v>
      </c>
      <c r="F134" s="619" t="s">
        <v>214</v>
      </c>
      <c r="G134" s="619" t="s">
        <v>214</v>
      </c>
      <c r="H134" s="618" t="s">
        <v>15</v>
      </c>
    </row>
    <row r="135" spans="1:8" ht="15.75">
      <c r="A135" s="18">
        <v>1</v>
      </c>
      <c r="B135" s="19" t="s">
        <v>70</v>
      </c>
      <c r="C135" s="20">
        <v>2</v>
      </c>
      <c r="D135" s="31">
        <v>9.95</v>
      </c>
      <c r="E135" s="22">
        <v>0</v>
      </c>
      <c r="F135" s="22">
        <v>0</v>
      </c>
      <c r="G135" s="22">
        <v>0</v>
      </c>
      <c r="H135" s="22"/>
    </row>
    <row r="136" spans="1:8" ht="15.75">
      <c r="A136" s="18">
        <v>2</v>
      </c>
      <c r="B136" s="19" t="s">
        <v>25</v>
      </c>
      <c r="C136" s="20">
        <v>35</v>
      </c>
      <c r="D136" s="31">
        <v>1070.507</v>
      </c>
      <c r="E136" s="22">
        <v>60160.81</v>
      </c>
      <c r="F136" s="22">
        <v>45225942</v>
      </c>
      <c r="G136" s="22">
        <v>5043492</v>
      </c>
      <c r="H136" s="23">
        <v>300</v>
      </c>
    </row>
    <row r="137" spans="1:8" ht="18.75">
      <c r="A137" s="659"/>
      <c r="B137" s="648" t="s">
        <v>19</v>
      </c>
      <c r="C137" s="660">
        <f aca="true" t="shared" si="9" ref="C137:H137">SUM(C135:C136)</f>
        <v>37</v>
      </c>
      <c r="D137" s="661">
        <f t="shared" si="9"/>
        <v>1080.457</v>
      </c>
      <c r="E137" s="645">
        <f t="shared" si="9"/>
        <v>60160.81</v>
      </c>
      <c r="F137" s="645">
        <f t="shared" si="9"/>
        <v>45225942</v>
      </c>
      <c r="G137" s="645">
        <f t="shared" si="9"/>
        <v>5043492</v>
      </c>
      <c r="H137" s="660">
        <f t="shared" si="9"/>
        <v>300</v>
      </c>
    </row>
    <row r="138" spans="1:8" ht="15">
      <c r="A138" s="139"/>
      <c r="B138" s="139"/>
      <c r="C138" s="139"/>
      <c r="D138" s="139"/>
      <c r="E138" s="139"/>
      <c r="F138" s="139"/>
      <c r="G138" s="139"/>
      <c r="H138" s="139"/>
    </row>
    <row r="139" spans="1:8" ht="20.25" customHeight="1">
      <c r="A139" s="1155" t="s">
        <v>228</v>
      </c>
      <c r="B139" s="1155"/>
      <c r="C139" s="1155"/>
      <c r="D139" s="1155"/>
      <c r="E139" s="1155"/>
      <c r="F139" s="1155"/>
      <c r="G139" s="1155"/>
      <c r="H139" s="1155"/>
    </row>
    <row r="140" spans="1:8" ht="15" customHeight="1">
      <c r="A140" s="1154" t="s">
        <v>4</v>
      </c>
      <c r="B140" s="1156" t="s">
        <v>5</v>
      </c>
      <c r="C140" s="1156" t="s">
        <v>6</v>
      </c>
      <c r="D140" s="615" t="s">
        <v>7</v>
      </c>
      <c r="E140" s="615" t="s">
        <v>8</v>
      </c>
      <c r="F140" s="615" t="s">
        <v>9</v>
      </c>
      <c r="G140" s="615" t="s">
        <v>10</v>
      </c>
      <c r="H140" s="615" t="s">
        <v>11</v>
      </c>
    </row>
    <row r="141" spans="1:8" ht="15.75" customHeight="1">
      <c r="A141" s="1154"/>
      <c r="B141" s="1157"/>
      <c r="C141" s="1157"/>
      <c r="D141" s="618" t="s">
        <v>12</v>
      </c>
      <c r="E141" s="618" t="s">
        <v>13</v>
      </c>
      <c r="F141" s="619" t="s">
        <v>214</v>
      </c>
      <c r="G141" s="619" t="s">
        <v>214</v>
      </c>
      <c r="H141" s="618" t="s">
        <v>15</v>
      </c>
    </row>
    <row r="142" spans="1:8" ht="15.75">
      <c r="A142" s="280">
        <v>1</v>
      </c>
      <c r="B142" s="281" t="s">
        <v>48</v>
      </c>
      <c r="C142" s="20">
        <v>6</v>
      </c>
      <c r="D142" s="31">
        <v>3673.38</v>
      </c>
      <c r="E142" s="22">
        <v>24927</v>
      </c>
      <c r="F142" s="22">
        <v>11840587</v>
      </c>
      <c r="G142" s="22">
        <v>2801000</v>
      </c>
      <c r="H142" s="23">
        <v>60</v>
      </c>
    </row>
    <row r="143" spans="1:8" ht="15.75">
      <c r="A143" s="280">
        <v>2</v>
      </c>
      <c r="B143" s="281" t="s">
        <v>41</v>
      </c>
      <c r="C143" s="282"/>
      <c r="D143" s="290"/>
      <c r="E143" s="291"/>
      <c r="F143" s="291"/>
      <c r="G143" s="291"/>
      <c r="H143" s="292"/>
    </row>
    <row r="144" spans="1:8" ht="15">
      <c r="A144" s="647"/>
      <c r="B144" s="647" t="s">
        <v>19</v>
      </c>
      <c r="C144" s="647">
        <f>SUM(C142:C143)</f>
        <v>6</v>
      </c>
      <c r="D144" s="657">
        <f>SUM(D142:D143)</f>
        <v>3673.38</v>
      </c>
      <c r="E144" s="647">
        <f>SUM(E142:E143)</f>
        <v>24927</v>
      </c>
      <c r="F144" s="658">
        <f>SUM(F142:F143)</f>
        <v>11840587</v>
      </c>
      <c r="G144" s="658">
        <f>SUM(G142:G143)</f>
        <v>2801000</v>
      </c>
      <c r="H144" s="647">
        <f>SUM(H139:H142)</f>
        <v>60</v>
      </c>
    </row>
    <row r="145" spans="1:8" ht="15">
      <c r="A145" s="139"/>
      <c r="B145" s="139"/>
      <c r="C145" s="139"/>
      <c r="D145" s="139"/>
      <c r="E145" s="139"/>
      <c r="F145" s="139"/>
      <c r="G145" s="139"/>
      <c r="H145" s="139"/>
    </row>
    <row r="146" spans="1:8" ht="20.25" customHeight="1">
      <c r="A146" s="1155" t="s">
        <v>230</v>
      </c>
      <c r="B146" s="1155"/>
      <c r="C146" s="1155"/>
      <c r="D146" s="1155"/>
      <c r="E146" s="1155"/>
      <c r="F146" s="1155"/>
      <c r="G146" s="1155"/>
      <c r="H146" s="1155"/>
    </row>
    <row r="147" spans="1:8" ht="15" customHeight="1">
      <c r="A147" s="1154" t="s">
        <v>4</v>
      </c>
      <c r="B147" s="1156" t="s">
        <v>5</v>
      </c>
      <c r="C147" s="1156" t="s">
        <v>6</v>
      </c>
      <c r="D147" s="615" t="s">
        <v>7</v>
      </c>
      <c r="E147" s="615" t="s">
        <v>8</v>
      </c>
      <c r="F147" s="615" t="s">
        <v>9</v>
      </c>
      <c r="G147" s="615" t="s">
        <v>10</v>
      </c>
      <c r="H147" s="615" t="s">
        <v>11</v>
      </c>
    </row>
    <row r="148" spans="1:8" ht="15.75" customHeight="1">
      <c r="A148" s="1154"/>
      <c r="B148" s="1157"/>
      <c r="C148" s="1157"/>
      <c r="D148" s="618" t="s">
        <v>12</v>
      </c>
      <c r="E148" s="618" t="s">
        <v>13</v>
      </c>
      <c r="F148" s="619" t="s">
        <v>214</v>
      </c>
      <c r="G148" s="619" t="s">
        <v>214</v>
      </c>
      <c r="H148" s="618" t="s">
        <v>15</v>
      </c>
    </row>
    <row r="149" spans="1:8" ht="15.75">
      <c r="A149" s="18">
        <v>1</v>
      </c>
      <c r="B149" s="19" t="s">
        <v>31</v>
      </c>
      <c r="C149" s="588">
        <v>1</v>
      </c>
      <c r="D149" s="575">
        <v>296.41</v>
      </c>
      <c r="E149" s="76"/>
      <c r="F149" s="303"/>
      <c r="G149" s="303"/>
      <c r="H149" s="84"/>
    </row>
    <row r="150" spans="1:8" ht="18.75" customHeight="1">
      <c r="A150" s="18">
        <v>2</v>
      </c>
      <c r="B150" s="19" t="s">
        <v>47</v>
      </c>
      <c r="C150" s="588">
        <v>7</v>
      </c>
      <c r="D150" s="575">
        <v>1647.01</v>
      </c>
      <c r="E150" s="303">
        <v>54139</v>
      </c>
      <c r="F150" s="303">
        <v>26149079</v>
      </c>
      <c r="G150" s="303">
        <v>1949000</v>
      </c>
      <c r="H150" s="84">
        <v>301</v>
      </c>
    </row>
    <row r="151" spans="1:8" ht="15.75">
      <c r="A151" s="18">
        <v>3</v>
      </c>
      <c r="B151" s="19" t="s">
        <v>39</v>
      </c>
      <c r="C151" s="588">
        <v>2</v>
      </c>
      <c r="D151" s="575">
        <v>111.36600000000001</v>
      </c>
      <c r="E151" s="75"/>
      <c r="F151" s="303"/>
      <c r="G151" s="303"/>
      <c r="H151" s="84">
        <v>25</v>
      </c>
    </row>
    <row r="152" spans="1:8" ht="15.75">
      <c r="A152" s="18">
        <v>4</v>
      </c>
      <c r="B152" s="19" t="s">
        <v>21</v>
      </c>
      <c r="C152" s="588">
        <v>38</v>
      </c>
      <c r="D152" s="575">
        <v>182.89</v>
      </c>
      <c r="E152" s="75">
        <v>322583.23</v>
      </c>
      <c r="F152" s="303">
        <v>124665609</v>
      </c>
      <c r="G152" s="303">
        <v>11361000</v>
      </c>
      <c r="H152" s="84">
        <v>400</v>
      </c>
    </row>
    <row r="153" spans="1:8" ht="15.75">
      <c r="A153" s="18">
        <v>5</v>
      </c>
      <c r="B153" s="19" t="s">
        <v>33</v>
      </c>
      <c r="C153" s="588">
        <v>5</v>
      </c>
      <c r="D153" s="575">
        <v>43.922</v>
      </c>
      <c r="E153" s="75">
        <v>25483</v>
      </c>
      <c r="F153" s="303">
        <v>7471763</v>
      </c>
      <c r="G153" s="303">
        <v>705000</v>
      </c>
      <c r="H153" s="84">
        <v>365</v>
      </c>
    </row>
    <row r="154" spans="1:8" ht="15.75">
      <c r="A154" s="18">
        <v>6</v>
      </c>
      <c r="B154" s="19" t="s">
        <v>27</v>
      </c>
      <c r="C154" s="588">
        <v>2</v>
      </c>
      <c r="D154" s="575">
        <v>581.15</v>
      </c>
      <c r="E154" s="303">
        <v>4220668</v>
      </c>
      <c r="F154" s="589">
        <v>1477233800</v>
      </c>
      <c r="G154" s="477">
        <v>274982000</v>
      </c>
      <c r="H154" s="590">
        <v>4500</v>
      </c>
    </row>
    <row r="155" spans="1:8" ht="15.75">
      <c r="A155" s="18">
        <v>7</v>
      </c>
      <c r="B155" s="19" t="s">
        <v>74</v>
      </c>
      <c r="C155" s="20">
        <v>5</v>
      </c>
      <c r="D155" s="588">
        <v>53.13</v>
      </c>
      <c r="E155" s="46"/>
      <c r="F155" s="372"/>
      <c r="G155" s="375">
        <v>35000</v>
      </c>
      <c r="H155" s="366">
        <v>5</v>
      </c>
    </row>
    <row r="156" spans="1:8" ht="15.75">
      <c r="A156" s="18">
        <v>8</v>
      </c>
      <c r="B156" s="19" t="s">
        <v>17</v>
      </c>
      <c r="C156" s="588">
        <v>39</v>
      </c>
      <c r="D156" s="575">
        <v>273.993</v>
      </c>
      <c r="E156" s="75">
        <v>5880</v>
      </c>
      <c r="F156" s="589">
        <v>1032200</v>
      </c>
      <c r="G156" s="477">
        <v>2390000</v>
      </c>
      <c r="H156" s="590">
        <v>112</v>
      </c>
    </row>
    <row r="157" spans="1:8" ht="15.75">
      <c r="A157" s="18">
        <v>9</v>
      </c>
      <c r="B157" s="19" t="s">
        <v>50</v>
      </c>
      <c r="C157" s="20">
        <v>1</v>
      </c>
      <c r="D157" s="588">
        <v>5</v>
      </c>
      <c r="E157" s="46"/>
      <c r="F157" s="372"/>
      <c r="G157" s="375"/>
      <c r="H157" s="366"/>
    </row>
    <row r="158" spans="1:8" ht="15.75">
      <c r="A158" s="18">
        <v>10</v>
      </c>
      <c r="B158" s="19" t="s">
        <v>36</v>
      </c>
      <c r="C158" s="588">
        <v>6</v>
      </c>
      <c r="D158" s="575">
        <v>272.28499999999997</v>
      </c>
      <c r="E158" s="75">
        <v>16930</v>
      </c>
      <c r="F158" s="589">
        <v>2757300</v>
      </c>
      <c r="G158" s="477">
        <v>500000</v>
      </c>
      <c r="H158" s="590">
        <v>102</v>
      </c>
    </row>
    <row r="159" spans="1:8" ht="15.75">
      <c r="A159" s="18">
        <v>11</v>
      </c>
      <c r="B159" s="365" t="s">
        <v>25</v>
      </c>
      <c r="C159" s="322">
        <v>5</v>
      </c>
      <c r="D159" s="588">
        <v>510.20060000000007</v>
      </c>
      <c r="E159" s="43">
        <v>656</v>
      </c>
      <c r="F159" s="69">
        <v>278800</v>
      </c>
      <c r="G159" s="69">
        <v>74000</v>
      </c>
      <c r="H159" s="24">
        <v>10</v>
      </c>
    </row>
    <row r="160" spans="1:8" ht="15.75">
      <c r="A160" s="18">
        <v>12</v>
      </c>
      <c r="B160" s="365" t="s">
        <v>358</v>
      </c>
      <c r="C160" s="591">
        <v>2</v>
      </c>
      <c r="D160" s="575">
        <v>212.95</v>
      </c>
      <c r="E160" s="76"/>
      <c r="F160" s="303"/>
      <c r="G160" s="303"/>
      <c r="H160" s="84"/>
    </row>
    <row r="161" spans="1:8" ht="18.75">
      <c r="A161" s="636"/>
      <c r="B161" s="656" t="s">
        <v>19</v>
      </c>
      <c r="C161" s="653">
        <f>SUM(C149:C160)</f>
        <v>113</v>
      </c>
      <c r="D161" s="654">
        <f>SUM(D149:D160)</f>
        <v>4190.3066</v>
      </c>
      <c r="E161" s="655">
        <f>SUM(E149:E159)</f>
        <v>4646339.23</v>
      </c>
      <c r="F161" s="655">
        <f>SUM(F149:F160)</f>
        <v>1639588551</v>
      </c>
      <c r="G161" s="655">
        <f>SUM(G149:G160)</f>
        <v>291996000</v>
      </c>
      <c r="H161" s="653">
        <f>SUM(H149:H160)</f>
        <v>5820</v>
      </c>
    </row>
    <row r="162" spans="1:8" ht="15">
      <c r="A162" s="139"/>
      <c r="B162" s="139"/>
      <c r="C162" s="139"/>
      <c r="D162" s="139"/>
      <c r="E162" s="139"/>
      <c r="F162" s="139"/>
      <c r="G162" s="139"/>
      <c r="H162" s="139"/>
    </row>
    <row r="163" spans="1:8" ht="20.25" customHeight="1">
      <c r="A163" s="1155" t="s">
        <v>229</v>
      </c>
      <c r="B163" s="1155"/>
      <c r="C163" s="1155"/>
      <c r="D163" s="1155"/>
      <c r="E163" s="1155"/>
      <c r="F163" s="1155"/>
      <c r="G163" s="1155"/>
      <c r="H163" s="1155"/>
    </row>
    <row r="164" spans="1:8" ht="15" customHeight="1">
      <c r="A164" s="1154" t="s">
        <v>4</v>
      </c>
      <c r="B164" s="1156" t="s">
        <v>5</v>
      </c>
      <c r="C164" s="1156" t="s">
        <v>6</v>
      </c>
      <c r="D164" s="615" t="s">
        <v>7</v>
      </c>
      <c r="E164" s="615" t="s">
        <v>8</v>
      </c>
      <c r="F164" s="615" t="s">
        <v>9</v>
      </c>
      <c r="G164" s="615" t="s">
        <v>10</v>
      </c>
      <c r="H164" s="615" t="s">
        <v>11</v>
      </c>
    </row>
    <row r="165" spans="1:8" ht="15.75" customHeight="1">
      <c r="A165" s="1154"/>
      <c r="B165" s="1157"/>
      <c r="C165" s="1157"/>
      <c r="D165" s="618" t="s">
        <v>12</v>
      </c>
      <c r="E165" s="618" t="s">
        <v>13</v>
      </c>
      <c r="F165" s="619" t="s">
        <v>214</v>
      </c>
      <c r="G165" s="619" t="s">
        <v>214</v>
      </c>
      <c r="H165" s="618" t="s">
        <v>15</v>
      </c>
    </row>
    <row r="166" spans="1:8" ht="15.75">
      <c r="A166" s="18">
        <v>1</v>
      </c>
      <c r="B166" s="19" t="s">
        <v>76</v>
      </c>
      <c r="C166" s="20">
        <v>2</v>
      </c>
      <c r="D166" s="31">
        <v>1998</v>
      </c>
      <c r="E166" s="22">
        <v>2242853</v>
      </c>
      <c r="F166" s="22">
        <v>1211140512</v>
      </c>
      <c r="G166" s="22">
        <v>157841000</v>
      </c>
      <c r="H166" s="23">
        <v>400</v>
      </c>
    </row>
    <row r="167" spans="1:8" ht="15.75">
      <c r="A167" s="18">
        <v>2</v>
      </c>
      <c r="B167" s="19" t="s">
        <v>48</v>
      </c>
      <c r="C167" s="20">
        <v>3</v>
      </c>
      <c r="D167" s="31">
        <v>922.47</v>
      </c>
      <c r="E167" s="22">
        <v>560878</v>
      </c>
      <c r="F167" s="22">
        <v>347743821</v>
      </c>
      <c r="G167" s="22">
        <v>42843000</v>
      </c>
      <c r="H167" s="23">
        <v>50</v>
      </c>
    </row>
    <row r="168" spans="1:8" ht="15.75">
      <c r="A168" s="18">
        <v>3</v>
      </c>
      <c r="B168" s="19" t="s">
        <v>77</v>
      </c>
      <c r="C168" s="20">
        <v>10</v>
      </c>
      <c r="D168" s="31">
        <v>91.71</v>
      </c>
      <c r="E168" s="22">
        <v>18426</v>
      </c>
      <c r="F168" s="22">
        <v>14740800</v>
      </c>
      <c r="G168" s="46">
        <v>1860000</v>
      </c>
      <c r="H168" s="23">
        <v>30</v>
      </c>
    </row>
    <row r="169" spans="1:8" ht="15.75">
      <c r="A169" s="18">
        <v>4</v>
      </c>
      <c r="B169" s="19" t="s">
        <v>39</v>
      </c>
      <c r="C169" s="20">
        <v>1</v>
      </c>
      <c r="D169" s="31">
        <v>32.37</v>
      </c>
      <c r="E169" s="45"/>
      <c r="F169" s="22"/>
      <c r="G169" s="45"/>
      <c r="H169" s="23"/>
    </row>
    <row r="170" spans="1:8" ht="15.75">
      <c r="A170" s="64">
        <v>5</v>
      </c>
      <c r="B170" s="19" t="s">
        <v>66</v>
      </c>
      <c r="C170" s="20"/>
      <c r="D170" s="31"/>
      <c r="E170" s="45"/>
      <c r="F170" s="22"/>
      <c r="G170" s="45"/>
      <c r="H170" s="23"/>
    </row>
    <row r="171" spans="1:8" ht="15.75">
      <c r="A171" s="64">
        <v>6</v>
      </c>
      <c r="B171" s="19" t="s">
        <v>78</v>
      </c>
      <c r="C171" s="20">
        <v>1</v>
      </c>
      <c r="D171" s="31">
        <v>4.9</v>
      </c>
      <c r="E171" s="45">
        <v>650</v>
      </c>
      <c r="F171" s="22"/>
      <c r="G171" s="22">
        <v>11000</v>
      </c>
      <c r="H171" s="23">
        <v>5</v>
      </c>
    </row>
    <row r="172" spans="1:8" ht="15.75">
      <c r="A172" s="64">
        <v>7</v>
      </c>
      <c r="B172" s="19" t="s">
        <v>41</v>
      </c>
      <c r="C172" s="20"/>
      <c r="D172" s="31"/>
      <c r="E172" s="22"/>
      <c r="F172" s="22"/>
      <c r="G172" s="22"/>
      <c r="H172" s="23"/>
    </row>
    <row r="173" spans="1:8" ht="18.75">
      <c r="A173" s="636"/>
      <c r="B173" s="637" t="s">
        <v>19</v>
      </c>
      <c r="C173" s="633">
        <f aca="true" t="shared" si="10" ref="C173:H173">SUM(C166:C172)</f>
        <v>17</v>
      </c>
      <c r="D173" s="633">
        <f t="shared" si="10"/>
        <v>3049.4500000000003</v>
      </c>
      <c r="E173" s="635">
        <f t="shared" si="10"/>
        <v>2822807</v>
      </c>
      <c r="F173" s="635">
        <f t="shared" si="10"/>
        <v>1573625133</v>
      </c>
      <c r="G173" s="635">
        <f t="shared" si="10"/>
        <v>202555000</v>
      </c>
      <c r="H173" s="633">
        <f t="shared" si="10"/>
        <v>485</v>
      </c>
    </row>
    <row r="174" spans="1:8" ht="20.25">
      <c r="A174" s="10"/>
      <c r="B174" s="11"/>
      <c r="C174" s="12"/>
      <c r="D174" s="30"/>
      <c r="E174" s="14"/>
      <c r="F174" s="14"/>
      <c r="G174" s="14"/>
      <c r="H174" s="15"/>
    </row>
    <row r="175" spans="1:8" ht="20.25" customHeight="1">
      <c r="A175" s="1155" t="s">
        <v>231</v>
      </c>
      <c r="B175" s="1155"/>
      <c r="C175" s="1155"/>
      <c r="D175" s="1155"/>
      <c r="E175" s="1155"/>
      <c r="F175" s="1155"/>
      <c r="G175" s="1155"/>
      <c r="H175" s="1155"/>
    </row>
    <row r="176" spans="1:8" ht="15" customHeight="1">
      <c r="A176" s="1154" t="s">
        <v>4</v>
      </c>
      <c r="B176" s="615" t="s">
        <v>5</v>
      </c>
      <c r="C176" s="615" t="s">
        <v>6</v>
      </c>
      <c r="D176" s="615" t="s">
        <v>7</v>
      </c>
      <c r="E176" s="615" t="s">
        <v>8</v>
      </c>
      <c r="F176" s="615" t="s">
        <v>9</v>
      </c>
      <c r="G176" s="615" t="s">
        <v>10</v>
      </c>
      <c r="H176" s="615" t="s">
        <v>11</v>
      </c>
    </row>
    <row r="177" spans="1:8" ht="15.75">
      <c r="A177" s="1154"/>
      <c r="B177" s="616"/>
      <c r="C177" s="617"/>
      <c r="D177" s="618" t="s">
        <v>12</v>
      </c>
      <c r="E177" s="618" t="s">
        <v>13</v>
      </c>
      <c r="F177" s="619" t="s">
        <v>214</v>
      </c>
      <c r="G177" s="619" t="s">
        <v>214</v>
      </c>
      <c r="H177" s="618" t="s">
        <v>15</v>
      </c>
    </row>
    <row r="178" spans="1:8" ht="15.75">
      <c r="A178" s="18">
        <v>1</v>
      </c>
      <c r="B178" s="19" t="s">
        <v>70</v>
      </c>
      <c r="C178" s="20">
        <v>4</v>
      </c>
      <c r="D178" s="31">
        <v>1075</v>
      </c>
      <c r="E178" s="22"/>
      <c r="F178" s="22"/>
      <c r="G178" s="22"/>
      <c r="H178" s="23">
        <v>15</v>
      </c>
    </row>
    <row r="179" spans="1:8" ht="15.75">
      <c r="A179" s="18">
        <v>2</v>
      </c>
      <c r="B179" s="19" t="s">
        <v>48</v>
      </c>
      <c r="C179" s="20">
        <v>1</v>
      </c>
      <c r="D179" s="31">
        <v>178.05</v>
      </c>
      <c r="E179" s="22"/>
      <c r="F179" s="22"/>
      <c r="G179" s="22"/>
      <c r="H179" s="23">
        <v>91</v>
      </c>
    </row>
    <row r="180" spans="1:8" ht="15.75">
      <c r="A180" s="18">
        <v>3</v>
      </c>
      <c r="B180" s="19" t="s">
        <v>80</v>
      </c>
      <c r="C180" s="20">
        <v>1</v>
      </c>
      <c r="D180" s="31">
        <v>24.55</v>
      </c>
      <c r="E180" s="22">
        <v>850</v>
      </c>
      <c r="F180" s="22">
        <v>8921500</v>
      </c>
      <c r="G180" s="22">
        <v>31000</v>
      </c>
      <c r="H180" s="23">
        <v>15</v>
      </c>
    </row>
    <row r="181" spans="1:8" ht="15.75">
      <c r="A181" s="18">
        <v>4</v>
      </c>
      <c r="B181" s="19" t="s">
        <v>41</v>
      </c>
      <c r="C181" s="20"/>
      <c r="D181" s="31"/>
      <c r="E181" s="22"/>
      <c r="F181" s="22"/>
      <c r="G181" s="22"/>
      <c r="H181" s="23"/>
    </row>
    <row r="182" spans="1:8" ht="18.75">
      <c r="A182" s="636"/>
      <c r="B182" s="637" t="s">
        <v>19</v>
      </c>
      <c r="C182" s="633">
        <f aca="true" t="shared" si="11" ref="C182:H182">SUM(C178:C181)</f>
        <v>6</v>
      </c>
      <c r="D182" s="634">
        <f t="shared" si="11"/>
        <v>1277.6</v>
      </c>
      <c r="E182" s="633">
        <f t="shared" si="11"/>
        <v>850</v>
      </c>
      <c r="F182" s="633">
        <f t="shared" si="11"/>
        <v>8921500</v>
      </c>
      <c r="G182" s="633">
        <f t="shared" si="11"/>
        <v>31000</v>
      </c>
      <c r="H182" s="633">
        <f t="shared" si="11"/>
        <v>121</v>
      </c>
    </row>
    <row r="183" spans="1:8" ht="15">
      <c r="A183" s="139"/>
      <c r="B183" s="139"/>
      <c r="C183" s="139"/>
      <c r="D183" s="139"/>
      <c r="E183" s="139"/>
      <c r="F183" s="139"/>
      <c r="G183" s="139"/>
      <c r="H183" s="139"/>
    </row>
    <row r="184" spans="1:8" ht="18.75">
      <c r="A184" s="1155" t="s">
        <v>233</v>
      </c>
      <c r="B184" s="1155"/>
      <c r="C184" s="1155"/>
      <c r="D184" s="1155"/>
      <c r="E184" s="1155"/>
      <c r="F184" s="1155"/>
      <c r="G184" s="1155"/>
      <c r="H184" s="1155"/>
    </row>
    <row r="185" spans="1:8" ht="15" customHeight="1">
      <c r="A185" s="1154" t="s">
        <v>4</v>
      </c>
      <c r="B185" s="615" t="s">
        <v>5</v>
      </c>
      <c r="C185" s="615" t="s">
        <v>6</v>
      </c>
      <c r="D185" s="615" t="s">
        <v>7</v>
      </c>
      <c r="E185" s="615" t="s">
        <v>8</v>
      </c>
      <c r="F185" s="615" t="s">
        <v>9</v>
      </c>
      <c r="G185" s="615" t="s">
        <v>10</v>
      </c>
      <c r="H185" s="615" t="s">
        <v>11</v>
      </c>
    </row>
    <row r="186" spans="1:8" ht="15.75">
      <c r="A186" s="1154"/>
      <c r="B186" s="616"/>
      <c r="C186" s="617"/>
      <c r="D186" s="618" t="s">
        <v>12</v>
      </c>
      <c r="E186" s="618" t="s">
        <v>13</v>
      </c>
      <c r="F186" s="619" t="s">
        <v>214</v>
      </c>
      <c r="G186" s="619" t="s">
        <v>214</v>
      </c>
      <c r="H186" s="618" t="s">
        <v>15</v>
      </c>
    </row>
    <row r="187" spans="1:8" ht="15">
      <c r="A187" s="18">
        <v>1</v>
      </c>
      <c r="B187" s="23" t="s">
        <v>98</v>
      </c>
      <c r="C187" s="83">
        <v>3</v>
      </c>
      <c r="D187" s="23">
        <v>706.25</v>
      </c>
      <c r="E187" s="83">
        <v>980523</v>
      </c>
      <c r="F187" s="82">
        <v>1961046000</v>
      </c>
      <c r="G187" s="332">
        <v>151929000</v>
      </c>
      <c r="H187" s="84">
        <v>1500</v>
      </c>
    </row>
    <row r="188" spans="1:8" ht="15">
      <c r="A188" s="18">
        <v>2</v>
      </c>
      <c r="B188" s="23" t="s">
        <v>357</v>
      </c>
      <c r="C188" s="83">
        <v>1</v>
      </c>
      <c r="D188" s="23">
        <v>4.914</v>
      </c>
      <c r="E188" s="83">
        <v>9500</v>
      </c>
      <c r="F188" s="82">
        <v>2850000</v>
      </c>
      <c r="G188" s="333">
        <v>566000</v>
      </c>
      <c r="H188" s="84">
        <v>20</v>
      </c>
    </row>
    <row r="189" spans="1:8" ht="15">
      <c r="A189" s="18">
        <v>3</v>
      </c>
      <c r="B189" s="23" t="s">
        <v>33</v>
      </c>
      <c r="C189" s="83">
        <v>6</v>
      </c>
      <c r="D189" s="23">
        <v>102.196</v>
      </c>
      <c r="E189" s="83">
        <v>78138</v>
      </c>
      <c r="F189" s="82">
        <v>27348300</v>
      </c>
      <c r="G189" s="332">
        <v>2870000</v>
      </c>
      <c r="H189" s="84">
        <v>25</v>
      </c>
    </row>
    <row r="190" spans="1:8" ht="15">
      <c r="A190" s="18">
        <v>4</v>
      </c>
      <c r="B190" s="23" t="s">
        <v>39</v>
      </c>
      <c r="C190" s="83">
        <v>1</v>
      </c>
      <c r="D190" s="23">
        <v>33.3125</v>
      </c>
      <c r="E190" s="83"/>
      <c r="F190" s="82"/>
      <c r="G190" s="332"/>
      <c r="H190" s="84"/>
    </row>
    <row r="191" spans="1:8" ht="15">
      <c r="A191" s="18">
        <v>5</v>
      </c>
      <c r="B191" s="23" t="s">
        <v>31</v>
      </c>
      <c r="C191" s="83">
        <v>4</v>
      </c>
      <c r="D191" s="23">
        <v>19.8875</v>
      </c>
      <c r="E191" s="83"/>
      <c r="F191" s="82"/>
      <c r="G191" s="332">
        <v>250000</v>
      </c>
      <c r="H191" s="84"/>
    </row>
    <row r="192" spans="1:8" ht="15">
      <c r="A192" s="18">
        <v>6</v>
      </c>
      <c r="B192" s="23" t="s">
        <v>100</v>
      </c>
      <c r="C192" s="83">
        <v>20</v>
      </c>
      <c r="D192" s="23">
        <v>90.1987</v>
      </c>
      <c r="E192" s="83">
        <v>20615</v>
      </c>
      <c r="F192" s="82">
        <v>7215250</v>
      </c>
      <c r="G192" s="332">
        <v>3019000</v>
      </c>
      <c r="H192" s="84">
        <v>200</v>
      </c>
    </row>
    <row r="193" spans="1:8" ht="15">
      <c r="A193" s="18">
        <v>7</v>
      </c>
      <c r="B193" s="23" t="s">
        <v>25</v>
      </c>
      <c r="C193" s="83">
        <v>4</v>
      </c>
      <c r="D193" s="23">
        <v>164.81</v>
      </c>
      <c r="E193" s="83"/>
      <c r="F193" s="82"/>
      <c r="G193" s="332">
        <v>305000</v>
      </c>
      <c r="H193" s="84"/>
    </row>
    <row r="194" spans="1:8" ht="15">
      <c r="A194" s="18">
        <v>8</v>
      </c>
      <c r="B194" s="23" t="s">
        <v>50</v>
      </c>
      <c r="C194" s="83">
        <v>3</v>
      </c>
      <c r="D194" s="23">
        <v>54.9873</v>
      </c>
      <c r="E194" s="83"/>
      <c r="F194" s="82"/>
      <c r="G194" s="332">
        <v>2000</v>
      </c>
      <c r="H194" s="84"/>
    </row>
    <row r="195" spans="1:8" ht="15.75">
      <c r="A195" s="259">
        <v>9</v>
      </c>
      <c r="B195" s="405" t="s">
        <v>41</v>
      </c>
      <c r="C195" s="611"/>
      <c r="D195" s="185"/>
      <c r="E195" s="611"/>
      <c r="F195" s="612"/>
      <c r="G195" s="613"/>
      <c r="H195" s="614"/>
    </row>
    <row r="196" spans="1:8" ht="15">
      <c r="A196" s="651"/>
      <c r="B196" s="651" t="s">
        <v>19</v>
      </c>
      <c r="C196" s="651">
        <f aca="true" t="shared" si="12" ref="C196:H196">SUM(C187:C195)</f>
        <v>42</v>
      </c>
      <c r="D196" s="651">
        <f t="shared" si="12"/>
        <v>1176.556</v>
      </c>
      <c r="E196" s="652">
        <f t="shared" si="12"/>
        <v>1088776</v>
      </c>
      <c r="F196" s="652">
        <f t="shared" si="12"/>
        <v>1998459550</v>
      </c>
      <c r="G196" s="652">
        <f t="shared" si="12"/>
        <v>158941000</v>
      </c>
      <c r="H196" s="651">
        <f t="shared" si="12"/>
        <v>1745</v>
      </c>
    </row>
    <row r="197" spans="1:8" ht="17.25" customHeight="1">
      <c r="A197" s="10"/>
      <c r="B197" s="10"/>
      <c r="C197" s="263"/>
      <c r="D197" s="263"/>
      <c r="E197" s="265"/>
      <c r="F197" s="265"/>
      <c r="G197" s="265"/>
      <c r="H197" s="263"/>
    </row>
    <row r="198" spans="1:8" ht="20.25" customHeight="1">
      <c r="A198" s="1162" t="s">
        <v>252</v>
      </c>
      <c r="B198" s="1162"/>
      <c r="C198" s="1162"/>
      <c r="D198" s="1162"/>
      <c r="E198" s="1162"/>
      <c r="F198" s="1162"/>
      <c r="G198" s="1162"/>
      <c r="H198" s="1162"/>
    </row>
    <row r="199" spans="1:8" ht="15" customHeight="1">
      <c r="A199" s="1154" t="s">
        <v>4</v>
      </c>
      <c r="B199" s="615" t="s">
        <v>5</v>
      </c>
      <c r="C199" s="615" t="s">
        <v>6</v>
      </c>
      <c r="D199" s="615" t="s">
        <v>7</v>
      </c>
      <c r="E199" s="615" t="s">
        <v>8</v>
      </c>
      <c r="F199" s="615" t="s">
        <v>9</v>
      </c>
      <c r="G199" s="615" t="s">
        <v>10</v>
      </c>
      <c r="H199" s="615" t="s">
        <v>11</v>
      </c>
    </row>
    <row r="200" spans="1:8" ht="15.75">
      <c r="A200" s="1154"/>
      <c r="B200" s="616"/>
      <c r="C200" s="617"/>
      <c r="D200" s="618" t="s">
        <v>12</v>
      </c>
      <c r="E200" s="618" t="s">
        <v>13</v>
      </c>
      <c r="F200" s="619" t="s">
        <v>214</v>
      </c>
      <c r="G200" s="619" t="s">
        <v>214</v>
      </c>
      <c r="H200" s="618" t="s">
        <v>15</v>
      </c>
    </row>
    <row r="201" spans="1:8" ht="15.75">
      <c r="A201" s="18">
        <v>1</v>
      </c>
      <c r="B201" s="19" t="s">
        <v>80</v>
      </c>
      <c r="C201" s="70">
        <v>6</v>
      </c>
      <c r="D201" s="71">
        <v>208.33</v>
      </c>
      <c r="E201" s="72"/>
      <c r="F201" s="72"/>
      <c r="G201" s="72">
        <v>16000</v>
      </c>
      <c r="H201" s="73"/>
    </row>
    <row r="202" spans="1:8" ht="15.75">
      <c r="A202" s="18">
        <v>2</v>
      </c>
      <c r="B202" s="19" t="s">
        <v>17</v>
      </c>
      <c r="C202" s="70">
        <v>3</v>
      </c>
      <c r="D202" s="71">
        <v>223.59</v>
      </c>
      <c r="E202" s="72"/>
      <c r="F202" s="72"/>
      <c r="G202" s="72"/>
      <c r="H202" s="73"/>
    </row>
    <row r="203" spans="1:8" ht="15.75">
      <c r="A203" s="27">
        <v>3</v>
      </c>
      <c r="B203" s="19" t="s">
        <v>41</v>
      </c>
      <c r="C203" s="70"/>
      <c r="D203" s="71"/>
      <c r="E203" s="72"/>
      <c r="F203" s="72"/>
      <c r="G203" s="72"/>
      <c r="H203" s="73"/>
    </row>
    <row r="204" spans="1:8" ht="18.75">
      <c r="A204" s="631"/>
      <c r="B204" s="632" t="s">
        <v>19</v>
      </c>
      <c r="C204" s="633">
        <f aca="true" t="shared" si="13" ref="C204:H204">SUM(C201:C203)</f>
        <v>9</v>
      </c>
      <c r="D204" s="633">
        <f t="shared" si="13"/>
        <v>431.92</v>
      </c>
      <c r="E204" s="633">
        <f t="shared" si="13"/>
        <v>0</v>
      </c>
      <c r="F204" s="633">
        <f t="shared" si="13"/>
        <v>0</v>
      </c>
      <c r="G204" s="633">
        <f t="shared" si="13"/>
        <v>16000</v>
      </c>
      <c r="H204" s="633">
        <f t="shared" si="13"/>
        <v>0</v>
      </c>
    </row>
    <row r="205" spans="1:8" ht="20.25">
      <c r="A205" s="10"/>
      <c r="B205" s="11"/>
      <c r="C205" s="12"/>
      <c r="D205" s="30"/>
      <c r="E205" s="14"/>
      <c r="F205" s="14"/>
      <c r="G205" s="14"/>
      <c r="H205" s="15"/>
    </row>
    <row r="206" spans="1:8" ht="20.25" customHeight="1">
      <c r="A206" s="1155" t="s">
        <v>360</v>
      </c>
      <c r="B206" s="1155"/>
      <c r="C206" s="1155"/>
      <c r="D206" s="1155"/>
      <c r="E206" s="1155"/>
      <c r="F206" s="1155"/>
      <c r="G206" s="1155"/>
      <c r="H206" s="1155"/>
    </row>
    <row r="207" spans="1:8" ht="15" customHeight="1">
      <c r="A207" s="1154" t="s">
        <v>4</v>
      </c>
      <c r="B207" s="615" t="s">
        <v>5</v>
      </c>
      <c r="C207" s="615" t="s">
        <v>6</v>
      </c>
      <c r="D207" s="615" t="s">
        <v>7</v>
      </c>
      <c r="E207" s="615" t="s">
        <v>8</v>
      </c>
      <c r="F207" s="615" t="s">
        <v>9</v>
      </c>
      <c r="G207" s="615" t="s">
        <v>10</v>
      </c>
      <c r="H207" s="615" t="s">
        <v>11</v>
      </c>
    </row>
    <row r="208" spans="1:8" ht="15.75">
      <c r="A208" s="1154"/>
      <c r="B208" s="616"/>
      <c r="C208" s="617"/>
      <c r="D208" s="618" t="s">
        <v>12</v>
      </c>
      <c r="E208" s="618" t="s">
        <v>13</v>
      </c>
      <c r="F208" s="619" t="s">
        <v>214</v>
      </c>
      <c r="G208" s="619" t="s">
        <v>214</v>
      </c>
      <c r="H208" s="618" t="s">
        <v>15</v>
      </c>
    </row>
    <row r="209" spans="1:8" ht="15.75">
      <c r="A209" s="18">
        <v>1</v>
      </c>
      <c r="B209" s="19" t="s">
        <v>36</v>
      </c>
      <c r="C209" s="23">
        <v>33</v>
      </c>
      <c r="D209" s="19">
        <v>600.78</v>
      </c>
      <c r="E209" s="22">
        <v>414620</v>
      </c>
      <c r="F209" s="22">
        <v>145117000</v>
      </c>
      <c r="G209" s="22">
        <v>9926000</v>
      </c>
      <c r="H209" s="23">
        <v>750</v>
      </c>
    </row>
    <row r="210" spans="1:8" ht="15.75">
      <c r="A210" s="18">
        <v>2</v>
      </c>
      <c r="B210" s="19" t="s">
        <v>25</v>
      </c>
      <c r="C210" s="23">
        <v>10</v>
      </c>
      <c r="D210" s="19">
        <v>892.48</v>
      </c>
      <c r="E210" s="22">
        <v>9046</v>
      </c>
      <c r="F210" s="22">
        <v>5643600</v>
      </c>
      <c r="G210" s="22">
        <v>990000</v>
      </c>
      <c r="H210" s="23">
        <v>60</v>
      </c>
    </row>
    <row r="211" spans="1:8" ht="15.75">
      <c r="A211" s="18">
        <v>3</v>
      </c>
      <c r="B211" s="19" t="s">
        <v>47</v>
      </c>
      <c r="C211" s="23">
        <v>7</v>
      </c>
      <c r="D211" s="19">
        <v>86.6356</v>
      </c>
      <c r="E211" s="22">
        <v>24552</v>
      </c>
      <c r="F211" s="22">
        <v>8593200</v>
      </c>
      <c r="G211" s="22">
        <v>676000</v>
      </c>
      <c r="H211" s="23">
        <v>116</v>
      </c>
    </row>
    <row r="212" spans="1:8" ht="15.75">
      <c r="A212" s="18">
        <v>4</v>
      </c>
      <c r="B212" s="19" t="s">
        <v>260</v>
      </c>
      <c r="C212" s="23"/>
      <c r="D212" s="21"/>
      <c r="E212" s="22"/>
      <c r="F212" s="22"/>
      <c r="G212" s="22">
        <v>4000</v>
      </c>
      <c r="H212" s="23"/>
    </row>
    <row r="213" spans="1:8" ht="18.75">
      <c r="A213" s="636"/>
      <c r="B213" s="637" t="s">
        <v>19</v>
      </c>
      <c r="C213" s="649">
        <f aca="true" t="shared" si="14" ref="C213:H213">SUM(C209:C212)</f>
        <v>50</v>
      </c>
      <c r="D213" s="650">
        <f t="shared" si="14"/>
        <v>1579.8956</v>
      </c>
      <c r="E213" s="649">
        <f t="shared" si="14"/>
        <v>448218</v>
      </c>
      <c r="F213" s="649">
        <f t="shared" si="14"/>
        <v>159353800</v>
      </c>
      <c r="G213" s="649">
        <f t="shared" si="14"/>
        <v>11596000</v>
      </c>
      <c r="H213" s="649">
        <f t="shared" si="14"/>
        <v>926</v>
      </c>
    </row>
    <row r="214" spans="1:8" ht="15">
      <c r="A214" s="139"/>
      <c r="B214" s="139"/>
      <c r="C214" s="139"/>
      <c r="D214" s="139"/>
      <c r="E214" s="139"/>
      <c r="F214" s="139"/>
      <c r="G214" s="139"/>
      <c r="H214" s="139"/>
    </row>
    <row r="215" spans="1:8" ht="20.25" customHeight="1">
      <c r="A215" s="1155" t="s">
        <v>261</v>
      </c>
      <c r="B215" s="1155"/>
      <c r="C215" s="1155"/>
      <c r="D215" s="1155"/>
      <c r="E215" s="1155"/>
      <c r="F215" s="1155"/>
      <c r="G215" s="1155"/>
      <c r="H215" s="1155"/>
    </row>
    <row r="216" spans="1:8" ht="15" customHeight="1">
      <c r="A216" s="1154" t="s">
        <v>4</v>
      </c>
      <c r="B216" s="1156" t="s">
        <v>5</v>
      </c>
      <c r="C216" s="1156" t="s">
        <v>6</v>
      </c>
      <c r="D216" s="615" t="s">
        <v>7</v>
      </c>
      <c r="E216" s="615" t="s">
        <v>8</v>
      </c>
      <c r="F216" s="615" t="s">
        <v>9</v>
      </c>
      <c r="G216" s="615" t="s">
        <v>10</v>
      </c>
      <c r="H216" s="615" t="s">
        <v>11</v>
      </c>
    </row>
    <row r="217" spans="1:8" ht="15.75" customHeight="1">
      <c r="A217" s="1154"/>
      <c r="B217" s="1157"/>
      <c r="C217" s="1157"/>
      <c r="D217" s="618" t="s">
        <v>12</v>
      </c>
      <c r="E217" s="618" t="s">
        <v>13</v>
      </c>
      <c r="F217" s="619" t="s">
        <v>214</v>
      </c>
      <c r="G217" s="619" t="s">
        <v>214</v>
      </c>
      <c r="H217" s="618" t="s">
        <v>15</v>
      </c>
    </row>
    <row r="218" spans="1:8" ht="15.75">
      <c r="A218" s="18">
        <v>1</v>
      </c>
      <c r="B218" s="19" t="s">
        <v>27</v>
      </c>
      <c r="C218" s="70">
        <v>1</v>
      </c>
      <c r="D218" s="81">
        <v>895.42</v>
      </c>
      <c r="E218" s="72">
        <v>2260827</v>
      </c>
      <c r="F218" s="72">
        <v>413731341</v>
      </c>
      <c r="G218" s="72">
        <v>139549000</v>
      </c>
      <c r="H218" s="73">
        <v>63</v>
      </c>
    </row>
    <row r="219" spans="1:8" ht="18.75">
      <c r="A219" s="647"/>
      <c r="B219" s="648" t="s">
        <v>19</v>
      </c>
      <c r="C219" s="645">
        <f aca="true" t="shared" si="15" ref="C219:H219">SUM(C218:C218)</f>
        <v>1</v>
      </c>
      <c r="D219" s="646">
        <f t="shared" si="15"/>
        <v>895.42</v>
      </c>
      <c r="E219" s="645">
        <f t="shared" si="15"/>
        <v>2260827</v>
      </c>
      <c r="F219" s="645">
        <f t="shared" si="15"/>
        <v>413731341</v>
      </c>
      <c r="G219" s="645">
        <f t="shared" si="15"/>
        <v>139549000</v>
      </c>
      <c r="H219" s="645">
        <f t="shared" si="15"/>
        <v>63</v>
      </c>
    </row>
    <row r="220" spans="1:8" ht="15">
      <c r="A220" s="139"/>
      <c r="B220" s="139"/>
      <c r="C220" s="139"/>
      <c r="D220" s="139"/>
      <c r="E220" s="139"/>
      <c r="F220" s="139"/>
      <c r="G220" s="139"/>
      <c r="H220" s="139"/>
    </row>
    <row r="221" spans="1:8" ht="15">
      <c r="A221" s="139"/>
      <c r="B221" s="139"/>
      <c r="C221" s="139"/>
      <c r="D221" s="139"/>
      <c r="E221" s="139"/>
      <c r="F221" s="139"/>
      <c r="G221" s="139"/>
      <c r="H221" s="139"/>
    </row>
    <row r="222" spans="1:8" ht="20.25" customHeight="1">
      <c r="A222" s="1161" t="s">
        <v>237</v>
      </c>
      <c r="B222" s="1161"/>
      <c r="C222" s="1161"/>
      <c r="D222" s="1161"/>
      <c r="E222" s="1161"/>
      <c r="F222" s="1161"/>
      <c r="G222" s="1161"/>
      <c r="H222" s="1161"/>
    </row>
    <row r="223" spans="1:8" ht="15" customHeight="1">
      <c r="A223" s="1154" t="s">
        <v>4</v>
      </c>
      <c r="B223" s="1156" t="s">
        <v>5</v>
      </c>
      <c r="C223" s="1156" t="s">
        <v>6</v>
      </c>
      <c r="D223" s="615" t="s">
        <v>7</v>
      </c>
      <c r="E223" s="615" t="s">
        <v>8</v>
      </c>
      <c r="F223" s="615" t="s">
        <v>9</v>
      </c>
      <c r="G223" s="615" t="s">
        <v>10</v>
      </c>
      <c r="H223" s="615" t="s">
        <v>11</v>
      </c>
    </row>
    <row r="224" spans="1:8" ht="15.75" customHeight="1">
      <c r="A224" s="1154"/>
      <c r="B224" s="1157"/>
      <c r="C224" s="1157"/>
      <c r="D224" s="618" t="s">
        <v>12</v>
      </c>
      <c r="E224" s="618" t="s">
        <v>13</v>
      </c>
      <c r="F224" s="619" t="s">
        <v>214</v>
      </c>
      <c r="G224" s="619" t="s">
        <v>214</v>
      </c>
      <c r="H224" s="618" t="s">
        <v>15</v>
      </c>
    </row>
    <row r="225" spans="1:8" ht="15.75">
      <c r="A225" s="18">
        <v>1</v>
      </c>
      <c r="B225" s="19" t="s">
        <v>47</v>
      </c>
      <c r="C225" s="20">
        <v>88</v>
      </c>
      <c r="D225" s="31">
        <v>452.75280000000004</v>
      </c>
      <c r="E225" s="22">
        <v>606023</v>
      </c>
      <c r="F225" s="22">
        <v>248866813</v>
      </c>
      <c r="G225" s="22">
        <v>17746135</v>
      </c>
      <c r="H225" s="22">
        <v>491</v>
      </c>
    </row>
    <row r="226" spans="1:8" ht="15.75">
      <c r="A226" s="325">
        <v>2</v>
      </c>
      <c r="B226" s="326" t="s">
        <v>48</v>
      </c>
      <c r="C226" s="327">
        <v>2</v>
      </c>
      <c r="D226" s="320">
        <v>1993.02</v>
      </c>
      <c r="E226" s="497">
        <v>349577</v>
      </c>
      <c r="F226" s="327">
        <v>125847644</v>
      </c>
      <c r="G226" s="328">
        <v>39705000</v>
      </c>
      <c r="H226" s="327">
        <v>90</v>
      </c>
    </row>
    <row r="227" spans="1:8" ht="15.75">
      <c r="A227" s="18">
        <v>3</v>
      </c>
      <c r="B227" s="326" t="s">
        <v>43</v>
      </c>
      <c r="C227" s="327">
        <v>1</v>
      </c>
      <c r="D227" s="320">
        <v>1065.35</v>
      </c>
      <c r="E227" s="327">
        <v>278845</v>
      </c>
      <c r="F227" s="327">
        <v>83653500</v>
      </c>
      <c r="G227" s="328">
        <v>26500000</v>
      </c>
      <c r="H227" s="327">
        <v>55</v>
      </c>
    </row>
    <row r="228" spans="1:8" ht="15.75">
      <c r="A228" s="325">
        <v>4</v>
      </c>
      <c r="B228" s="19" t="s">
        <v>27</v>
      </c>
      <c r="C228" s="20">
        <v>7</v>
      </c>
      <c r="D228" s="31">
        <v>1581.589</v>
      </c>
      <c r="E228" s="22">
        <v>844187.52</v>
      </c>
      <c r="F228" s="22">
        <v>174215175</v>
      </c>
      <c r="G228" s="22">
        <v>58895000</v>
      </c>
      <c r="H228" s="22">
        <v>139</v>
      </c>
    </row>
    <row r="229" spans="1:8" ht="15.75">
      <c r="A229" s="18">
        <v>5</v>
      </c>
      <c r="B229" s="19" t="s">
        <v>72</v>
      </c>
      <c r="C229" s="20">
        <v>4</v>
      </c>
      <c r="D229" s="31">
        <v>18.86</v>
      </c>
      <c r="E229" s="22">
        <v>1065</v>
      </c>
      <c r="F229" s="22">
        <v>330000</v>
      </c>
      <c r="G229" s="22">
        <v>145000</v>
      </c>
      <c r="H229" s="23">
        <v>5</v>
      </c>
    </row>
    <row r="230" spans="1:8" ht="15.75">
      <c r="A230" s="280">
        <v>6</v>
      </c>
      <c r="B230" s="281" t="s">
        <v>41</v>
      </c>
      <c r="C230" s="282"/>
      <c r="D230" s="290"/>
      <c r="E230" s="291"/>
      <c r="F230" s="291"/>
      <c r="G230" s="291"/>
      <c r="H230" s="292"/>
    </row>
    <row r="231" spans="1:8" ht="15">
      <c r="A231" s="642"/>
      <c r="B231" s="643" t="s">
        <v>19</v>
      </c>
      <c r="C231" s="644">
        <f aca="true" t="shared" si="16" ref="C231:H231">SUM(C225:C230)</f>
        <v>102</v>
      </c>
      <c r="D231" s="644">
        <f t="shared" si="16"/>
        <v>5111.5718</v>
      </c>
      <c r="E231" s="644">
        <f t="shared" si="16"/>
        <v>2079697.52</v>
      </c>
      <c r="F231" s="644">
        <f t="shared" si="16"/>
        <v>632913132</v>
      </c>
      <c r="G231" s="644">
        <f t="shared" si="16"/>
        <v>142991135</v>
      </c>
      <c r="H231" s="644">
        <f t="shared" si="16"/>
        <v>780</v>
      </c>
    </row>
    <row r="232" spans="1:8" ht="15">
      <c r="A232" s="139"/>
      <c r="B232" s="139"/>
      <c r="C232" s="139"/>
      <c r="D232" s="139"/>
      <c r="E232" s="139"/>
      <c r="F232" s="139"/>
      <c r="G232" s="139"/>
      <c r="H232" s="139"/>
    </row>
    <row r="233" spans="1:8" ht="20.25" customHeight="1">
      <c r="A233" s="1155" t="s">
        <v>238</v>
      </c>
      <c r="B233" s="1155"/>
      <c r="C233" s="1155"/>
      <c r="D233" s="1155"/>
      <c r="E233" s="1155"/>
      <c r="F233" s="1155"/>
      <c r="G233" s="1155"/>
      <c r="H233" s="1155"/>
    </row>
    <row r="234" spans="1:8" ht="15" customHeight="1">
      <c r="A234" s="1154" t="s">
        <v>4</v>
      </c>
      <c r="B234" s="1156" t="s">
        <v>5</v>
      </c>
      <c r="C234" s="1156" t="s">
        <v>6</v>
      </c>
      <c r="D234" s="615" t="s">
        <v>7</v>
      </c>
      <c r="E234" s="615" t="s">
        <v>8</v>
      </c>
      <c r="F234" s="615" t="s">
        <v>9</v>
      </c>
      <c r="G234" s="615" t="s">
        <v>10</v>
      </c>
      <c r="H234" s="615" t="s">
        <v>11</v>
      </c>
    </row>
    <row r="235" spans="1:8" ht="15">
      <c r="A235" s="1154"/>
      <c r="B235" s="1157"/>
      <c r="C235" s="1157"/>
      <c r="D235" s="618" t="s">
        <v>12</v>
      </c>
      <c r="E235" s="618" t="s">
        <v>13</v>
      </c>
      <c r="F235" s="619" t="s">
        <v>214</v>
      </c>
      <c r="G235" s="619" t="s">
        <v>214</v>
      </c>
      <c r="H235" s="618" t="s">
        <v>15</v>
      </c>
    </row>
    <row r="236" spans="1:8" ht="15">
      <c r="A236" s="87">
        <v>1</v>
      </c>
      <c r="B236" s="349" t="s">
        <v>27</v>
      </c>
      <c r="C236" s="352">
        <v>3</v>
      </c>
      <c r="D236" s="353">
        <v>1736.53</v>
      </c>
      <c r="E236" s="350">
        <v>12159122</v>
      </c>
      <c r="F236" s="22">
        <v>3039780500</v>
      </c>
      <c r="G236" s="22">
        <v>839053000</v>
      </c>
      <c r="H236" s="23">
        <v>212</v>
      </c>
    </row>
    <row r="237" spans="1:8" ht="15">
      <c r="A237" s="87">
        <v>2</v>
      </c>
      <c r="B237" s="349" t="s">
        <v>47</v>
      </c>
      <c r="C237" s="352">
        <v>18</v>
      </c>
      <c r="D237" s="353">
        <v>543.4719</v>
      </c>
      <c r="E237" s="350">
        <v>319840</v>
      </c>
      <c r="F237" s="22">
        <v>127936000</v>
      </c>
      <c r="G237" s="22">
        <v>11194000</v>
      </c>
      <c r="H237" s="23">
        <v>126</v>
      </c>
    </row>
    <row r="238" spans="1:8" ht="15">
      <c r="A238" s="87">
        <v>3</v>
      </c>
      <c r="B238" s="88" t="s">
        <v>72</v>
      </c>
      <c r="C238" s="351">
        <v>36</v>
      </c>
      <c r="D238" s="470">
        <v>223.006</v>
      </c>
      <c r="E238" s="22">
        <v>48570</v>
      </c>
      <c r="F238" s="22">
        <v>14571000</v>
      </c>
      <c r="G238" s="22">
        <v>1457000</v>
      </c>
      <c r="H238" s="23">
        <v>180</v>
      </c>
    </row>
    <row r="239" spans="1:8" ht="15">
      <c r="A239" s="87">
        <v>4</v>
      </c>
      <c r="B239" s="88" t="s">
        <v>22</v>
      </c>
      <c r="C239" s="58">
        <v>1</v>
      </c>
      <c r="D239" s="471">
        <v>4</v>
      </c>
      <c r="E239" s="22"/>
      <c r="F239" s="22"/>
      <c r="G239" s="22"/>
      <c r="H239" s="23"/>
    </row>
    <row r="240" spans="1:8" ht="15">
      <c r="A240" s="87">
        <v>5</v>
      </c>
      <c r="B240" s="88" t="s">
        <v>16</v>
      </c>
      <c r="C240" s="58"/>
      <c r="D240" s="88"/>
      <c r="E240" s="22"/>
      <c r="F240" s="22"/>
      <c r="G240" s="22"/>
      <c r="H240" s="23"/>
    </row>
    <row r="241" spans="1:8" ht="15">
      <c r="A241" s="87">
        <v>6</v>
      </c>
      <c r="B241" s="348" t="s">
        <v>24</v>
      </c>
      <c r="C241" s="58">
        <v>1</v>
      </c>
      <c r="D241" s="471">
        <v>5</v>
      </c>
      <c r="E241" s="22"/>
      <c r="F241" s="22"/>
      <c r="G241" s="22"/>
      <c r="H241" s="23"/>
    </row>
    <row r="242" spans="1:8" ht="15">
      <c r="A242" s="87">
        <v>7</v>
      </c>
      <c r="B242" s="88" t="s">
        <v>48</v>
      </c>
      <c r="C242" s="58"/>
      <c r="D242" s="88"/>
      <c r="E242" s="22"/>
      <c r="F242" s="22"/>
      <c r="G242" s="22"/>
      <c r="H242" s="23"/>
    </row>
    <row r="243" spans="1:8" ht="15">
      <c r="A243" s="625"/>
      <c r="B243" s="625" t="s">
        <v>19</v>
      </c>
      <c r="C243" s="625">
        <f aca="true" t="shared" si="17" ref="C243:H243">SUM(C236:C242)</f>
        <v>59</v>
      </c>
      <c r="D243" s="625">
        <f t="shared" si="17"/>
        <v>2512.0079</v>
      </c>
      <c r="E243" s="627">
        <f t="shared" si="17"/>
        <v>12527532</v>
      </c>
      <c r="F243" s="627">
        <f t="shared" si="17"/>
        <v>3182287500</v>
      </c>
      <c r="G243" s="627">
        <f t="shared" si="17"/>
        <v>851704000</v>
      </c>
      <c r="H243" s="625">
        <f t="shared" si="17"/>
        <v>518</v>
      </c>
    </row>
    <row r="244" spans="1:8" ht="15">
      <c r="A244" s="139"/>
      <c r="B244" s="139"/>
      <c r="C244" s="139"/>
      <c r="D244" s="139"/>
      <c r="E244" s="139"/>
      <c r="F244" s="139"/>
      <c r="G244" s="139"/>
      <c r="H244" s="139"/>
    </row>
    <row r="245" spans="1:8" ht="15">
      <c r="A245" s="139"/>
      <c r="B245" s="139"/>
      <c r="C245" s="139"/>
      <c r="D245" s="139"/>
      <c r="E245" s="139"/>
      <c r="F245" s="139"/>
      <c r="G245" s="139"/>
      <c r="H245" s="139"/>
    </row>
    <row r="246" spans="1:8" ht="20.25" customHeight="1">
      <c r="A246" s="1161" t="s">
        <v>239</v>
      </c>
      <c r="B246" s="1161"/>
      <c r="C246" s="1161"/>
      <c r="D246" s="1161"/>
      <c r="E246" s="1161"/>
      <c r="F246" s="1161"/>
      <c r="G246" s="1161"/>
      <c r="H246" s="1161"/>
    </row>
    <row r="247" spans="1:8" ht="15" customHeight="1">
      <c r="A247" s="1154" t="s">
        <v>4</v>
      </c>
      <c r="B247" s="1156" t="s">
        <v>5</v>
      </c>
      <c r="C247" s="1156" t="s">
        <v>6</v>
      </c>
      <c r="D247" s="615" t="s">
        <v>7</v>
      </c>
      <c r="E247" s="615" t="s">
        <v>8</v>
      </c>
      <c r="F247" s="615" t="s">
        <v>9</v>
      </c>
      <c r="G247" s="615" t="s">
        <v>10</v>
      </c>
      <c r="H247" s="615" t="s">
        <v>11</v>
      </c>
    </row>
    <row r="248" spans="1:8" ht="15">
      <c r="A248" s="1154"/>
      <c r="B248" s="1157"/>
      <c r="C248" s="1157"/>
      <c r="D248" s="618" t="s">
        <v>12</v>
      </c>
      <c r="E248" s="618" t="s">
        <v>13</v>
      </c>
      <c r="F248" s="619" t="s">
        <v>214</v>
      </c>
      <c r="G248" s="619" t="s">
        <v>214</v>
      </c>
      <c r="H248" s="618" t="s">
        <v>15</v>
      </c>
    </row>
    <row r="249" spans="1:8" ht="15.75">
      <c r="A249" s="64">
        <v>1</v>
      </c>
      <c r="B249" s="19" t="s">
        <v>25</v>
      </c>
      <c r="C249" s="20">
        <v>25</v>
      </c>
      <c r="D249" s="31">
        <v>1093.95</v>
      </c>
      <c r="E249" s="22">
        <v>189053</v>
      </c>
      <c r="F249" s="22">
        <v>198505650</v>
      </c>
      <c r="G249" s="22">
        <v>30308000</v>
      </c>
      <c r="H249" s="23">
        <v>3500</v>
      </c>
    </row>
    <row r="250" spans="1:8" ht="15.75">
      <c r="A250" s="18">
        <v>2</v>
      </c>
      <c r="B250" s="19" t="s">
        <v>50</v>
      </c>
      <c r="C250" s="20">
        <v>19</v>
      </c>
      <c r="D250" s="31">
        <v>686.42</v>
      </c>
      <c r="E250" s="22">
        <v>630189</v>
      </c>
      <c r="F250" s="22">
        <v>75622680</v>
      </c>
      <c r="G250" s="22">
        <v>19356000</v>
      </c>
      <c r="H250" s="23">
        <v>339</v>
      </c>
    </row>
    <row r="251" spans="1:8" ht="15.75">
      <c r="A251" s="18">
        <v>3</v>
      </c>
      <c r="B251" s="19" t="s">
        <v>39</v>
      </c>
      <c r="C251" s="20"/>
      <c r="D251" s="31"/>
      <c r="E251" s="22">
        <v>7280</v>
      </c>
      <c r="F251" s="22">
        <v>3458000</v>
      </c>
      <c r="G251" s="22">
        <v>439000</v>
      </c>
      <c r="H251" s="23"/>
    </row>
    <row r="252" spans="1:8" ht="15.75">
      <c r="A252" s="64">
        <v>4</v>
      </c>
      <c r="B252" s="19" t="s">
        <v>72</v>
      </c>
      <c r="C252" s="20">
        <v>8</v>
      </c>
      <c r="D252" s="31">
        <v>32</v>
      </c>
      <c r="E252" s="22"/>
      <c r="F252" s="22"/>
      <c r="G252" s="22">
        <v>38000</v>
      </c>
      <c r="H252" s="23"/>
    </row>
    <row r="253" spans="1:8" ht="15.75">
      <c r="A253" s="283"/>
      <c r="B253" s="281"/>
      <c r="C253" s="282"/>
      <c r="D253" s="294"/>
      <c r="E253" s="291"/>
      <c r="F253" s="291"/>
      <c r="G253" s="291"/>
      <c r="H253" s="292"/>
    </row>
    <row r="254" spans="1:8" ht="15.75">
      <c r="A254" s="280"/>
      <c r="B254" s="281"/>
      <c r="C254" s="282"/>
      <c r="D254" s="290"/>
      <c r="E254" s="291"/>
      <c r="F254" s="291"/>
      <c r="G254" s="291"/>
      <c r="H254" s="292"/>
    </row>
    <row r="255" spans="1:8" ht="18.75">
      <c r="A255" s="640"/>
      <c r="B255" s="641" t="s">
        <v>19</v>
      </c>
      <c r="C255" s="638">
        <f aca="true" t="shared" si="18" ref="C255:H255">SUM(C249:C254)</f>
        <v>52</v>
      </c>
      <c r="D255" s="639">
        <f t="shared" si="18"/>
        <v>1812.37</v>
      </c>
      <c r="E255" s="638">
        <f t="shared" si="18"/>
        <v>826522</v>
      </c>
      <c r="F255" s="638">
        <f t="shared" si="18"/>
        <v>277586330</v>
      </c>
      <c r="G255" s="638">
        <f>SUM(G249:G254)</f>
        <v>50141000</v>
      </c>
      <c r="H255" s="638">
        <f t="shared" si="18"/>
        <v>3839</v>
      </c>
    </row>
    <row r="256" spans="1:8" ht="15">
      <c r="A256" s="295"/>
      <c r="B256" s="295"/>
      <c r="C256" s="295"/>
      <c r="D256" s="295"/>
      <c r="E256" s="295"/>
      <c r="F256" s="295"/>
      <c r="G256" s="295"/>
      <c r="H256" s="295"/>
    </row>
    <row r="257" spans="1:8" ht="20.25" customHeight="1">
      <c r="A257" s="1155" t="s">
        <v>240</v>
      </c>
      <c r="B257" s="1155"/>
      <c r="C257" s="1155"/>
      <c r="D257" s="1155"/>
      <c r="E257" s="1155"/>
      <c r="F257" s="1155"/>
      <c r="G257" s="1155"/>
      <c r="H257" s="1155"/>
    </row>
    <row r="258" spans="1:8" ht="15" customHeight="1">
      <c r="A258" s="1154" t="s">
        <v>4</v>
      </c>
      <c r="B258" s="1156" t="s">
        <v>5</v>
      </c>
      <c r="C258" s="1156" t="s">
        <v>6</v>
      </c>
      <c r="D258" s="615" t="s">
        <v>7</v>
      </c>
      <c r="E258" s="615" t="s">
        <v>8</v>
      </c>
      <c r="F258" s="615" t="s">
        <v>9</v>
      </c>
      <c r="G258" s="615" t="s">
        <v>10</v>
      </c>
      <c r="H258" s="615" t="s">
        <v>11</v>
      </c>
    </row>
    <row r="259" spans="1:8" ht="15">
      <c r="A259" s="1154"/>
      <c r="B259" s="1157"/>
      <c r="C259" s="1157"/>
      <c r="D259" s="618" t="s">
        <v>12</v>
      </c>
      <c r="E259" s="618" t="s">
        <v>13</v>
      </c>
      <c r="F259" s="619" t="s">
        <v>214</v>
      </c>
      <c r="G259" s="619" t="s">
        <v>214</v>
      </c>
      <c r="H259" s="618" t="s">
        <v>15</v>
      </c>
    </row>
    <row r="260" spans="1:8" ht="15.75">
      <c r="A260" s="18">
        <v>1</v>
      </c>
      <c r="B260" s="19" t="s">
        <v>59</v>
      </c>
      <c r="C260" s="498"/>
      <c r="D260" s="499"/>
      <c r="E260" s="303">
        <v>135</v>
      </c>
      <c r="F260" s="303">
        <v>25764750</v>
      </c>
      <c r="G260" s="60">
        <v>9871710</v>
      </c>
      <c r="H260" s="58"/>
    </row>
    <row r="261" spans="1:8" ht="15.75">
      <c r="A261" s="18">
        <v>2</v>
      </c>
      <c r="B261" s="19" t="s">
        <v>31</v>
      </c>
      <c r="C261" s="65">
        <v>5</v>
      </c>
      <c r="D261" s="77">
        <v>23.1</v>
      </c>
      <c r="E261" s="69"/>
      <c r="F261" s="65"/>
      <c r="G261" s="65"/>
      <c r="H261" s="65"/>
    </row>
    <row r="262" spans="1:8" ht="15.75">
      <c r="A262" s="18">
        <v>3</v>
      </c>
      <c r="B262" s="19" t="s">
        <v>39</v>
      </c>
      <c r="C262" s="65">
        <v>7</v>
      </c>
      <c r="D262" s="78">
        <v>862.363</v>
      </c>
      <c r="E262" s="72">
        <v>646608</v>
      </c>
      <c r="F262" s="65">
        <v>16165200</v>
      </c>
      <c r="G262" s="65">
        <v>5581000</v>
      </c>
      <c r="H262" s="73">
        <v>307</v>
      </c>
    </row>
    <row r="263" spans="1:8" ht="15.75">
      <c r="A263" s="18">
        <v>4</v>
      </c>
      <c r="B263" s="19" t="s">
        <v>18</v>
      </c>
      <c r="C263" s="24"/>
      <c r="D263" s="25"/>
      <c r="E263" s="22">
        <v>107537</v>
      </c>
      <c r="F263" s="22">
        <v>32261100</v>
      </c>
      <c r="G263" s="26"/>
      <c r="H263" s="26"/>
    </row>
    <row r="264" spans="1:8" ht="15.75">
      <c r="A264" s="18">
        <v>5</v>
      </c>
      <c r="B264" s="19" t="s">
        <v>91</v>
      </c>
      <c r="C264" s="65"/>
      <c r="D264" s="78"/>
      <c r="E264" s="500">
        <v>57200</v>
      </c>
      <c r="F264" s="65"/>
      <c r="G264" s="323"/>
      <c r="H264" s="73"/>
    </row>
    <row r="265" spans="1:8" ht="15.75">
      <c r="A265" s="18">
        <v>6</v>
      </c>
      <c r="B265" s="19" t="s">
        <v>57</v>
      </c>
      <c r="C265" s="65"/>
      <c r="D265" s="321"/>
      <c r="E265" s="419">
        <v>130500</v>
      </c>
      <c r="F265" s="322"/>
      <c r="G265" s="65"/>
      <c r="H265" s="73"/>
    </row>
    <row r="266" spans="1:8" ht="15.75">
      <c r="A266" s="18">
        <v>7</v>
      </c>
      <c r="B266" s="19" t="s">
        <v>55</v>
      </c>
      <c r="C266" s="65">
        <v>2</v>
      </c>
      <c r="D266" s="321">
        <v>1342.425</v>
      </c>
      <c r="E266" s="323">
        <v>2139504</v>
      </c>
      <c r="F266" s="322">
        <v>4279008000</v>
      </c>
      <c r="G266" s="65">
        <v>1294446600</v>
      </c>
      <c r="H266" s="73">
        <v>1378</v>
      </c>
    </row>
    <row r="267" spans="1:8" ht="15.75">
      <c r="A267" s="18">
        <v>8</v>
      </c>
      <c r="B267" s="19" t="s">
        <v>72</v>
      </c>
      <c r="C267" s="24">
        <v>702</v>
      </c>
      <c r="D267" s="501">
        <v>4694.342270000001</v>
      </c>
      <c r="E267" s="313">
        <v>242991</v>
      </c>
      <c r="F267" s="350">
        <v>60367816</v>
      </c>
      <c r="G267" s="26">
        <v>62992000</v>
      </c>
      <c r="H267" s="26">
        <v>4926</v>
      </c>
    </row>
    <row r="268" spans="1:8" ht="15.75">
      <c r="A268" s="18">
        <v>9</v>
      </c>
      <c r="B268" s="19" t="s">
        <v>36</v>
      </c>
      <c r="C268" s="65">
        <v>1</v>
      </c>
      <c r="D268" s="321">
        <v>4.2</v>
      </c>
      <c r="E268" s="324"/>
      <c r="F268" s="322"/>
      <c r="G268" s="65">
        <v>201000</v>
      </c>
      <c r="H268" s="73">
        <v>9</v>
      </c>
    </row>
    <row r="269" spans="1:8" ht="15.75">
      <c r="A269" s="18">
        <v>10</v>
      </c>
      <c r="B269" s="19" t="s">
        <v>263</v>
      </c>
      <c r="C269" s="362"/>
      <c r="D269" s="362"/>
      <c r="E269" s="477">
        <v>160</v>
      </c>
      <c r="F269" s="477">
        <v>8667646660</v>
      </c>
      <c r="G269" s="363">
        <v>642829690</v>
      </c>
      <c r="H269" s="362"/>
    </row>
    <row r="270" spans="1:8" ht="15.75">
      <c r="A270" s="18">
        <v>11</v>
      </c>
      <c r="B270" s="19" t="s">
        <v>25</v>
      </c>
      <c r="C270" s="323">
        <v>10</v>
      </c>
      <c r="D270" s="502">
        <v>498.23</v>
      </c>
      <c r="E270" s="324">
        <v>30745</v>
      </c>
      <c r="F270" s="323">
        <v>24596000</v>
      </c>
      <c r="G270" s="323">
        <v>3347000</v>
      </c>
      <c r="H270" s="378">
        <v>913</v>
      </c>
    </row>
    <row r="271" spans="1:8" ht="15.75">
      <c r="A271" s="18"/>
      <c r="B271" s="19"/>
      <c r="C271" s="362"/>
      <c r="D271" s="362"/>
      <c r="E271" s="477"/>
      <c r="F271" s="477"/>
      <c r="G271" s="363"/>
      <c r="H271" s="362"/>
    </row>
    <row r="272" spans="1:8" ht="15.75">
      <c r="A272" s="18"/>
      <c r="B272" s="19"/>
      <c r="C272" s="65"/>
      <c r="D272" s="321"/>
      <c r="E272" s="324"/>
      <c r="F272" s="322"/>
      <c r="G272" s="65"/>
      <c r="H272" s="73"/>
    </row>
    <row r="273" spans="1:8" ht="15.75">
      <c r="A273" s="297"/>
      <c r="B273" s="19"/>
      <c r="C273" s="65"/>
      <c r="D273" s="77"/>
      <c r="E273" s="65"/>
      <c r="F273" s="65"/>
      <c r="G273" s="65"/>
      <c r="H273" s="296"/>
    </row>
    <row r="274" spans="1:8" ht="18.75">
      <c r="A274" s="636"/>
      <c r="B274" s="637" t="s">
        <v>19</v>
      </c>
      <c r="C274" s="633">
        <f aca="true" t="shared" si="19" ref="C274:H274">SUM(C260:C272)</f>
        <v>727</v>
      </c>
      <c r="D274" s="634">
        <f t="shared" si="19"/>
        <v>7424.66027</v>
      </c>
      <c r="E274" s="633">
        <f t="shared" si="19"/>
        <v>3355380</v>
      </c>
      <c r="F274" s="633">
        <f t="shared" si="19"/>
        <v>13105809526</v>
      </c>
      <c r="G274" s="635">
        <f>SUM(G260:G273)</f>
        <v>2019269000</v>
      </c>
      <c r="H274" s="633">
        <f t="shared" si="19"/>
        <v>7533</v>
      </c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20.25" customHeight="1">
      <c r="A276" s="1155" t="s">
        <v>241</v>
      </c>
      <c r="B276" s="1155"/>
      <c r="C276" s="1155"/>
      <c r="D276" s="1155"/>
      <c r="E276" s="1155"/>
      <c r="F276" s="1155"/>
      <c r="G276" s="1155"/>
      <c r="H276" s="1155"/>
    </row>
    <row r="277" spans="1:8" ht="15" customHeight="1">
      <c r="A277" s="1154" t="s">
        <v>4</v>
      </c>
      <c r="B277" s="1156" t="s">
        <v>5</v>
      </c>
      <c r="C277" s="1156" t="s">
        <v>6</v>
      </c>
      <c r="D277" s="615" t="s">
        <v>7</v>
      </c>
      <c r="E277" s="615" t="s">
        <v>8</v>
      </c>
      <c r="F277" s="615" t="s">
        <v>9</v>
      </c>
      <c r="G277" s="615" t="s">
        <v>10</v>
      </c>
      <c r="H277" s="615" t="s">
        <v>11</v>
      </c>
    </row>
    <row r="278" spans="1:8" ht="15">
      <c r="A278" s="1154"/>
      <c r="B278" s="1157"/>
      <c r="C278" s="1157"/>
      <c r="D278" s="618" t="s">
        <v>12</v>
      </c>
      <c r="E278" s="618" t="s">
        <v>13</v>
      </c>
      <c r="F278" s="619" t="s">
        <v>214</v>
      </c>
      <c r="G278" s="619" t="s">
        <v>214</v>
      </c>
      <c r="H278" s="618" t="s">
        <v>15</v>
      </c>
    </row>
    <row r="279" spans="1:8" ht="15.75">
      <c r="A279" s="298">
        <v>1</v>
      </c>
      <c r="B279" s="19" t="s">
        <v>47</v>
      </c>
      <c r="C279" s="23">
        <v>4</v>
      </c>
      <c r="D279" s="19">
        <v>19.0194</v>
      </c>
      <c r="E279" s="22">
        <v>209</v>
      </c>
      <c r="F279" s="22">
        <v>73150</v>
      </c>
      <c r="G279" s="22">
        <v>5000</v>
      </c>
      <c r="H279" s="23">
        <v>4</v>
      </c>
    </row>
    <row r="280" spans="1:8" ht="15.75">
      <c r="A280" s="298">
        <v>2</v>
      </c>
      <c r="B280" s="19" t="s">
        <v>21</v>
      </c>
      <c r="C280" s="65"/>
      <c r="D280" s="65"/>
      <c r="E280" s="65"/>
      <c r="F280" s="65"/>
      <c r="G280" s="65"/>
      <c r="H280" s="79"/>
    </row>
    <row r="281" spans="1:8" ht="15.75">
      <c r="A281" s="298">
        <v>3</v>
      </c>
      <c r="B281" s="19" t="s">
        <v>17</v>
      </c>
      <c r="C281" s="58">
        <v>7</v>
      </c>
      <c r="D281" s="59">
        <v>545.3258999999999</v>
      </c>
      <c r="E281" s="22">
        <v>55570</v>
      </c>
      <c r="F281" s="22">
        <v>6689460</v>
      </c>
      <c r="G281" s="22">
        <v>2222800</v>
      </c>
      <c r="H281" s="23">
        <v>73</v>
      </c>
    </row>
    <row r="282" spans="1:8" ht="15.75">
      <c r="A282" s="298">
        <v>4</v>
      </c>
      <c r="B282" s="19" t="s">
        <v>36</v>
      </c>
      <c r="C282" s="65"/>
      <c r="D282" s="65"/>
      <c r="E282" s="65"/>
      <c r="F282" s="65"/>
      <c r="G282" s="65"/>
      <c r="H282" s="79"/>
    </row>
    <row r="283" spans="1:8" ht="15.75">
      <c r="A283" s="298">
        <v>5</v>
      </c>
      <c r="B283" s="19" t="s">
        <v>25</v>
      </c>
      <c r="C283" s="65"/>
      <c r="D283" s="77"/>
      <c r="E283" s="65"/>
      <c r="F283" s="65"/>
      <c r="G283" s="65"/>
      <c r="H283" s="79"/>
    </row>
    <row r="284" spans="1:8" ht="15">
      <c r="A284" s="625"/>
      <c r="B284" s="625" t="s">
        <v>19</v>
      </c>
      <c r="C284" s="625">
        <f aca="true" t="shared" si="20" ref="C284:H284">SUM(C279:C283)</f>
        <v>11</v>
      </c>
      <c r="D284" s="625">
        <f t="shared" si="20"/>
        <v>564.3453</v>
      </c>
      <c r="E284" s="625">
        <f t="shared" si="20"/>
        <v>55779</v>
      </c>
      <c r="F284" s="625">
        <f t="shared" si="20"/>
        <v>6762610</v>
      </c>
      <c r="G284" s="625">
        <f t="shared" si="20"/>
        <v>2227800</v>
      </c>
      <c r="H284" s="625">
        <f t="shared" si="20"/>
        <v>77</v>
      </c>
    </row>
    <row r="285" spans="1:8" ht="15">
      <c r="A285" s="10"/>
      <c r="B285" s="10"/>
      <c r="C285" s="263"/>
      <c r="D285" s="263"/>
      <c r="E285" s="263"/>
      <c r="F285" s="263"/>
      <c r="G285" s="265"/>
      <c r="H285" s="263"/>
    </row>
    <row r="286" spans="1:8" ht="20.25" customHeight="1">
      <c r="A286" s="1155" t="s">
        <v>243</v>
      </c>
      <c r="B286" s="1155"/>
      <c r="C286" s="1155"/>
      <c r="D286" s="1155"/>
      <c r="E286" s="1155"/>
      <c r="F286" s="1155"/>
      <c r="G286" s="1155"/>
      <c r="H286" s="1155"/>
    </row>
    <row r="287" spans="1:8" ht="15" customHeight="1">
      <c r="A287" s="1154" t="s">
        <v>4</v>
      </c>
      <c r="B287" s="1156" t="s">
        <v>5</v>
      </c>
      <c r="C287" s="1156" t="s">
        <v>6</v>
      </c>
      <c r="D287" s="615" t="s">
        <v>7</v>
      </c>
      <c r="E287" s="615" t="s">
        <v>8</v>
      </c>
      <c r="F287" s="615" t="s">
        <v>9</v>
      </c>
      <c r="G287" s="615" t="s">
        <v>10</v>
      </c>
      <c r="H287" s="615" t="s">
        <v>11</v>
      </c>
    </row>
    <row r="288" spans="1:8" ht="15">
      <c r="A288" s="1154"/>
      <c r="B288" s="1157"/>
      <c r="C288" s="1157"/>
      <c r="D288" s="618" t="s">
        <v>12</v>
      </c>
      <c r="E288" s="618" t="s">
        <v>13</v>
      </c>
      <c r="F288" s="619" t="s">
        <v>214</v>
      </c>
      <c r="G288" s="619" t="s">
        <v>214</v>
      </c>
      <c r="H288" s="618" t="s">
        <v>15</v>
      </c>
    </row>
    <row r="289" spans="1:8" ht="15">
      <c r="A289" s="18">
        <v>1</v>
      </c>
      <c r="B289" s="23" t="s">
        <v>47</v>
      </c>
      <c r="C289" s="83">
        <v>1</v>
      </c>
      <c r="D289" s="23">
        <v>32.5423</v>
      </c>
      <c r="E289" s="83"/>
      <c r="F289" s="82"/>
      <c r="G289" s="332"/>
      <c r="H289" s="17"/>
    </row>
    <row r="290" spans="1:8" ht="15">
      <c r="A290" s="18">
        <v>2</v>
      </c>
      <c r="B290" s="23" t="s">
        <v>27</v>
      </c>
      <c r="C290" s="83">
        <v>3</v>
      </c>
      <c r="D290" s="23">
        <v>1824.39</v>
      </c>
      <c r="E290" s="83"/>
      <c r="F290" s="82"/>
      <c r="G290" s="332">
        <v>1932000</v>
      </c>
      <c r="H290" s="84">
        <v>5</v>
      </c>
    </row>
    <row r="291" spans="1:8" ht="15">
      <c r="A291" s="18">
        <v>3</v>
      </c>
      <c r="B291" s="23" t="s">
        <v>33</v>
      </c>
      <c r="C291" s="83">
        <v>3</v>
      </c>
      <c r="D291" s="23">
        <v>42.373400000000004</v>
      </c>
      <c r="E291" s="83">
        <v>0</v>
      </c>
      <c r="F291" s="82">
        <v>0</v>
      </c>
      <c r="G291" s="332">
        <v>307000</v>
      </c>
      <c r="H291" s="84">
        <v>0</v>
      </c>
    </row>
    <row r="292" spans="1:8" ht="15">
      <c r="A292" s="18">
        <v>4</v>
      </c>
      <c r="B292" s="23" t="s">
        <v>39</v>
      </c>
      <c r="C292" s="83">
        <v>1</v>
      </c>
      <c r="D292" s="23">
        <v>4.787799999999997</v>
      </c>
      <c r="E292" s="83">
        <v>0</v>
      </c>
      <c r="F292" s="82">
        <v>0</v>
      </c>
      <c r="G292" s="332">
        <v>31000</v>
      </c>
      <c r="H292" s="84">
        <v>2</v>
      </c>
    </row>
    <row r="293" spans="1:8" ht="15">
      <c r="A293" s="18">
        <v>5</v>
      </c>
      <c r="B293" s="23" t="s">
        <v>31</v>
      </c>
      <c r="C293" s="83">
        <v>9</v>
      </c>
      <c r="D293" s="23">
        <v>149.7363</v>
      </c>
      <c r="E293" s="83">
        <v>270</v>
      </c>
      <c r="F293" s="82">
        <v>97200</v>
      </c>
      <c r="G293" s="332">
        <v>932000</v>
      </c>
      <c r="H293" s="84">
        <v>10</v>
      </c>
    </row>
    <row r="294" spans="1:8" ht="15">
      <c r="A294" s="18">
        <v>6</v>
      </c>
      <c r="B294" s="23" t="s">
        <v>100</v>
      </c>
      <c r="C294" s="83">
        <v>103</v>
      </c>
      <c r="D294" s="23">
        <v>963.6112999999999</v>
      </c>
      <c r="E294" s="83">
        <v>658999</v>
      </c>
      <c r="F294" s="82">
        <v>230649650</v>
      </c>
      <c r="G294" s="332">
        <v>26107000</v>
      </c>
      <c r="H294" s="84">
        <v>300</v>
      </c>
    </row>
    <row r="295" spans="1:8" ht="15">
      <c r="A295" s="18">
        <v>7</v>
      </c>
      <c r="B295" s="23" t="s">
        <v>25</v>
      </c>
      <c r="C295" s="83">
        <v>2</v>
      </c>
      <c r="D295" s="23">
        <v>9.474999999999994</v>
      </c>
      <c r="E295" s="83">
        <v>0</v>
      </c>
      <c r="F295" s="82">
        <v>0</v>
      </c>
      <c r="G295" s="332">
        <v>2005000</v>
      </c>
      <c r="H295" s="84">
        <v>2</v>
      </c>
    </row>
    <row r="296" spans="1:8" ht="15">
      <c r="A296" s="18">
        <v>8</v>
      </c>
      <c r="B296" s="23" t="s">
        <v>50</v>
      </c>
      <c r="C296" s="83">
        <v>2</v>
      </c>
      <c r="D296" s="23">
        <v>46.6</v>
      </c>
      <c r="E296" s="83">
        <v>6481</v>
      </c>
      <c r="F296" s="82">
        <v>0</v>
      </c>
      <c r="G296" s="332">
        <v>102000</v>
      </c>
      <c r="H296" s="84">
        <v>5</v>
      </c>
    </row>
    <row r="297" spans="1:8" ht="15.75">
      <c r="A297" s="18">
        <v>9</v>
      </c>
      <c r="B297" s="19" t="s">
        <v>41</v>
      </c>
      <c r="C297" s="83"/>
      <c r="D297" s="23"/>
      <c r="E297" s="83"/>
      <c r="F297" s="82"/>
      <c r="G297" s="332"/>
      <c r="H297" s="84"/>
    </row>
    <row r="298" spans="1:8" ht="15">
      <c r="A298" s="625"/>
      <c r="B298" s="625" t="s">
        <v>19</v>
      </c>
      <c r="C298" s="621">
        <f aca="true" t="shared" si="21" ref="C298:H298">SUM(C289:C297)</f>
        <v>124</v>
      </c>
      <c r="D298" s="621">
        <f t="shared" si="21"/>
        <v>3073.5161</v>
      </c>
      <c r="E298" s="629">
        <f t="shared" si="21"/>
        <v>665750</v>
      </c>
      <c r="F298" s="629">
        <f t="shared" si="21"/>
        <v>230746850</v>
      </c>
      <c r="G298" s="629">
        <f t="shared" si="21"/>
        <v>31416000</v>
      </c>
      <c r="H298" s="621">
        <f t="shared" si="21"/>
        <v>324</v>
      </c>
    </row>
    <row r="299" spans="1:8" ht="15">
      <c r="A299" s="139"/>
      <c r="B299" s="139"/>
      <c r="C299" s="139"/>
      <c r="D299" s="139"/>
      <c r="E299" s="139"/>
      <c r="F299" s="139"/>
      <c r="G299" s="139"/>
      <c r="H299" s="139"/>
    </row>
    <row r="300" spans="1:8" ht="20.25" customHeight="1">
      <c r="A300" s="1155" t="s">
        <v>244</v>
      </c>
      <c r="B300" s="1155"/>
      <c r="C300" s="1155"/>
      <c r="D300" s="1155"/>
      <c r="E300" s="1155"/>
      <c r="F300" s="1155"/>
      <c r="G300" s="1155"/>
      <c r="H300" s="1155"/>
    </row>
    <row r="301" spans="1:8" ht="15" customHeight="1">
      <c r="A301" s="1154" t="s">
        <v>4</v>
      </c>
      <c r="B301" s="1156" t="s">
        <v>5</v>
      </c>
      <c r="C301" s="1156" t="s">
        <v>6</v>
      </c>
      <c r="D301" s="615" t="s">
        <v>7</v>
      </c>
      <c r="E301" s="615" t="s">
        <v>8</v>
      </c>
      <c r="F301" s="615" t="s">
        <v>9</v>
      </c>
      <c r="G301" s="615" t="s">
        <v>10</v>
      </c>
      <c r="H301" s="615" t="s">
        <v>11</v>
      </c>
    </row>
    <row r="302" spans="1:8" ht="15">
      <c r="A302" s="1154"/>
      <c r="B302" s="1157"/>
      <c r="C302" s="1157"/>
      <c r="D302" s="618" t="s">
        <v>12</v>
      </c>
      <c r="E302" s="618" t="s">
        <v>13</v>
      </c>
      <c r="F302" s="619" t="s">
        <v>214</v>
      </c>
      <c r="G302" s="619" t="s">
        <v>214</v>
      </c>
      <c r="H302" s="618" t="s">
        <v>15</v>
      </c>
    </row>
    <row r="303" spans="1:8" ht="15">
      <c r="A303" s="18">
        <v>1</v>
      </c>
      <c r="B303" s="23" t="s">
        <v>27</v>
      </c>
      <c r="C303" s="23">
        <v>3</v>
      </c>
      <c r="D303" s="23">
        <v>1115.3</v>
      </c>
      <c r="E303" s="22">
        <v>12553460</v>
      </c>
      <c r="F303" s="22">
        <v>1380880600</v>
      </c>
      <c r="G303" s="22">
        <v>828900000</v>
      </c>
      <c r="H303" s="23">
        <v>800</v>
      </c>
    </row>
    <row r="304" spans="1:8" ht="15">
      <c r="A304" s="18">
        <v>2</v>
      </c>
      <c r="B304" s="23" t="s">
        <v>22</v>
      </c>
      <c r="C304" s="23">
        <v>2</v>
      </c>
      <c r="D304" s="23">
        <v>77.86</v>
      </c>
      <c r="E304" s="22">
        <v>139799</v>
      </c>
      <c r="F304" s="22">
        <v>128615080</v>
      </c>
      <c r="G304" s="22">
        <v>14700000</v>
      </c>
      <c r="H304" s="23">
        <v>240</v>
      </c>
    </row>
    <row r="305" spans="1:8" ht="15">
      <c r="A305" s="18">
        <v>3</v>
      </c>
      <c r="B305" s="23" t="s">
        <v>31</v>
      </c>
      <c r="C305" s="23">
        <v>3</v>
      </c>
      <c r="D305" s="23">
        <v>211.57</v>
      </c>
      <c r="E305" s="22">
        <v>4045</v>
      </c>
      <c r="F305" s="22">
        <v>1456200</v>
      </c>
      <c r="G305" s="22">
        <v>298000</v>
      </c>
      <c r="H305" s="23">
        <v>515</v>
      </c>
    </row>
    <row r="306" spans="1:8" ht="15">
      <c r="A306" s="18">
        <v>4</v>
      </c>
      <c r="B306" s="23" t="s">
        <v>17</v>
      </c>
      <c r="C306" s="23">
        <v>14</v>
      </c>
      <c r="D306" s="23">
        <v>61.64</v>
      </c>
      <c r="E306" s="22">
        <v>6232</v>
      </c>
      <c r="F306" s="22">
        <v>1558000</v>
      </c>
      <c r="G306" s="22">
        <v>1558000</v>
      </c>
      <c r="H306" s="23">
        <v>210</v>
      </c>
    </row>
    <row r="307" spans="1:8" ht="15">
      <c r="A307" s="18">
        <v>5</v>
      </c>
      <c r="B307" s="23" t="s">
        <v>103</v>
      </c>
      <c r="C307" s="23">
        <v>2</v>
      </c>
      <c r="D307" s="23">
        <v>115</v>
      </c>
      <c r="E307" s="22"/>
      <c r="F307" s="22"/>
      <c r="G307" s="22">
        <v>338000</v>
      </c>
      <c r="H307" s="23"/>
    </row>
    <row r="308" spans="1:8" ht="15">
      <c r="A308" s="18"/>
      <c r="B308" s="23"/>
      <c r="C308" s="73"/>
      <c r="D308" s="86"/>
      <c r="E308" s="57"/>
      <c r="F308" s="57"/>
      <c r="G308" s="57"/>
      <c r="H308" s="73"/>
    </row>
    <row r="309" spans="1:8" ht="15.75">
      <c r="A309" s="625"/>
      <c r="B309" s="630" t="s">
        <v>19</v>
      </c>
      <c r="C309" s="625">
        <f aca="true" t="shared" si="22" ref="C309:H309">SUM(C303:C308)</f>
        <v>24</v>
      </c>
      <c r="D309" s="625">
        <f t="shared" si="22"/>
        <v>1581.37</v>
      </c>
      <c r="E309" s="627">
        <f t="shared" si="22"/>
        <v>12703536</v>
      </c>
      <c r="F309" s="627">
        <f t="shared" si="22"/>
        <v>1512509880</v>
      </c>
      <c r="G309" s="627">
        <f t="shared" si="22"/>
        <v>845794000</v>
      </c>
      <c r="H309" s="625">
        <f t="shared" si="22"/>
        <v>1765</v>
      </c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20.25" customHeight="1">
      <c r="A312" s="1155" t="s">
        <v>262</v>
      </c>
      <c r="B312" s="1155"/>
      <c r="C312" s="1155"/>
      <c r="D312" s="1155"/>
      <c r="E312" s="1155"/>
      <c r="F312" s="1155"/>
      <c r="G312" s="1155"/>
      <c r="H312" s="1155"/>
    </row>
    <row r="313" spans="1:8" ht="15" customHeight="1">
      <c r="A313" s="1154" t="s">
        <v>4</v>
      </c>
      <c r="B313" s="1156" t="s">
        <v>5</v>
      </c>
      <c r="C313" s="1156" t="s">
        <v>6</v>
      </c>
      <c r="D313" s="615" t="s">
        <v>7</v>
      </c>
      <c r="E313" s="615" t="s">
        <v>8</v>
      </c>
      <c r="F313" s="615" t="s">
        <v>9</v>
      </c>
      <c r="G313" s="615" t="s">
        <v>10</v>
      </c>
      <c r="H313" s="615" t="s">
        <v>11</v>
      </c>
    </row>
    <row r="314" spans="1:8" ht="15">
      <c r="A314" s="1154"/>
      <c r="B314" s="1157"/>
      <c r="C314" s="1157"/>
      <c r="D314" s="618" t="s">
        <v>12</v>
      </c>
      <c r="E314" s="618" t="s">
        <v>13</v>
      </c>
      <c r="F314" s="619" t="s">
        <v>214</v>
      </c>
      <c r="G314" s="619" t="s">
        <v>214</v>
      </c>
      <c r="H314" s="618" t="s">
        <v>15</v>
      </c>
    </row>
    <row r="315" spans="1:8" ht="15.75">
      <c r="A315" s="18">
        <v>1</v>
      </c>
      <c r="B315" s="19" t="s">
        <v>48</v>
      </c>
      <c r="C315" s="20">
        <v>13</v>
      </c>
      <c r="D315" s="31">
        <v>1087.79</v>
      </c>
      <c r="E315" s="22">
        <v>352032</v>
      </c>
      <c r="F315" s="22">
        <v>167214938</v>
      </c>
      <c r="G315" s="22">
        <v>30643000</v>
      </c>
      <c r="H315" s="23">
        <v>130</v>
      </c>
    </row>
    <row r="316" spans="1:8" ht="15.75">
      <c r="A316" s="18">
        <v>2</v>
      </c>
      <c r="B316" s="19" t="s">
        <v>41</v>
      </c>
      <c r="C316" s="20"/>
      <c r="D316" s="31"/>
      <c r="E316" s="22"/>
      <c r="F316" s="22"/>
      <c r="G316" s="22"/>
      <c r="H316" s="23"/>
    </row>
    <row r="317" spans="1:8" ht="15">
      <c r="A317" s="625"/>
      <c r="B317" s="625" t="s">
        <v>19</v>
      </c>
      <c r="C317" s="621">
        <f>SUM(C315:C316)</f>
        <v>13</v>
      </c>
      <c r="D317" s="628">
        <f>SUM(D315:D316)</f>
        <v>1087.79</v>
      </c>
      <c r="E317" s="629">
        <f>SUM(E315:E316)</f>
        <v>352032</v>
      </c>
      <c r="F317" s="629">
        <f>SUM(F315:F316)</f>
        <v>167214938</v>
      </c>
      <c r="G317" s="629">
        <f>SUM(G315:G316)</f>
        <v>30643000</v>
      </c>
      <c r="H317" s="621">
        <f>SUM(H312:H315)</f>
        <v>130</v>
      </c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20.25" customHeight="1">
      <c r="A319" s="1155" t="s">
        <v>245</v>
      </c>
      <c r="B319" s="1155"/>
      <c r="C319" s="1155"/>
      <c r="D319" s="1155"/>
      <c r="E319" s="1155"/>
      <c r="F319" s="1155"/>
      <c r="G319" s="1155"/>
      <c r="H319" s="1155"/>
    </row>
    <row r="320" spans="1:8" ht="15" customHeight="1">
      <c r="A320" s="1154" t="s">
        <v>4</v>
      </c>
      <c r="B320" s="1156" t="s">
        <v>5</v>
      </c>
      <c r="C320" s="1156" t="s">
        <v>6</v>
      </c>
      <c r="D320" s="615" t="s">
        <v>7</v>
      </c>
      <c r="E320" s="615" t="s">
        <v>8</v>
      </c>
      <c r="F320" s="615" t="s">
        <v>9</v>
      </c>
      <c r="G320" s="615" t="s">
        <v>10</v>
      </c>
      <c r="H320" s="615" t="s">
        <v>11</v>
      </c>
    </row>
    <row r="321" spans="1:8" ht="15">
      <c r="A321" s="1154"/>
      <c r="B321" s="1157"/>
      <c r="C321" s="1157"/>
      <c r="D321" s="618" t="s">
        <v>12</v>
      </c>
      <c r="E321" s="618" t="s">
        <v>13</v>
      </c>
      <c r="F321" s="619" t="s">
        <v>214</v>
      </c>
      <c r="G321" s="619" t="s">
        <v>214</v>
      </c>
      <c r="H321" s="618" t="s">
        <v>15</v>
      </c>
    </row>
    <row r="322" spans="1:8" ht="15">
      <c r="A322" s="87">
        <v>1</v>
      </c>
      <c r="B322" s="88" t="s">
        <v>17</v>
      </c>
      <c r="C322" s="58">
        <v>47</v>
      </c>
      <c r="D322" s="59">
        <v>229.638</v>
      </c>
      <c r="E322" s="22">
        <v>99330</v>
      </c>
      <c r="F322" s="22">
        <v>23640540</v>
      </c>
      <c r="G322" s="22">
        <v>3973200</v>
      </c>
      <c r="H322" s="23">
        <v>122</v>
      </c>
    </row>
    <row r="323" spans="1:8" ht="15.75">
      <c r="A323" s="64">
        <v>2</v>
      </c>
      <c r="B323" s="19" t="s">
        <v>21</v>
      </c>
      <c r="C323" s="58"/>
      <c r="D323" s="59"/>
      <c r="E323" s="22">
        <v>2875</v>
      </c>
      <c r="F323" s="22">
        <v>575000</v>
      </c>
      <c r="G323" s="22">
        <v>115000</v>
      </c>
      <c r="H323" s="23">
        <v>7</v>
      </c>
    </row>
    <row r="324" spans="1:8" ht="15.75">
      <c r="A324" s="18">
        <v>3</v>
      </c>
      <c r="B324" s="19" t="s">
        <v>36</v>
      </c>
      <c r="C324" s="20">
        <v>3</v>
      </c>
      <c r="D324" s="59">
        <v>14.0612</v>
      </c>
      <c r="E324" s="22"/>
      <c r="F324" s="22"/>
      <c r="G324" s="22">
        <v>115000</v>
      </c>
      <c r="H324" s="23"/>
    </row>
    <row r="325" spans="1:8" ht="15.75">
      <c r="A325" s="18">
        <v>4</v>
      </c>
      <c r="B325" s="19" t="s">
        <v>107</v>
      </c>
      <c r="C325" s="20">
        <v>4</v>
      </c>
      <c r="D325" s="22">
        <v>19.7583</v>
      </c>
      <c r="E325" s="5"/>
      <c r="F325" s="22"/>
      <c r="G325" s="22">
        <v>94000</v>
      </c>
      <c r="H325" s="23"/>
    </row>
    <row r="326" spans="1:8" ht="15.75">
      <c r="A326" s="18">
        <v>5</v>
      </c>
      <c r="B326" s="19" t="s">
        <v>41</v>
      </c>
      <c r="C326" s="20"/>
      <c r="D326" s="31"/>
      <c r="E326" s="22"/>
      <c r="F326" s="22"/>
      <c r="G326" s="22"/>
      <c r="H326" s="23"/>
    </row>
    <row r="327" spans="1:8" ht="15">
      <c r="A327" s="625"/>
      <c r="B327" s="625" t="s">
        <v>19</v>
      </c>
      <c r="C327" s="625">
        <f>SUM(C322:C326)</f>
        <v>54</v>
      </c>
      <c r="D327" s="626">
        <f>SUM(D322:D326)</f>
        <v>263.45750000000004</v>
      </c>
      <c r="E327" s="625">
        <f>SUM(E322:E326)</f>
        <v>102205</v>
      </c>
      <c r="F327" s="625">
        <f>SUM(F322:F326)</f>
        <v>24215540</v>
      </c>
      <c r="G327" s="627">
        <f>SUM(G322:G326)</f>
        <v>4297200</v>
      </c>
      <c r="H327" s="625">
        <f>SUM(H322:H325)</f>
        <v>129</v>
      </c>
    </row>
    <row r="328" spans="1:8" ht="15">
      <c r="A328" s="10"/>
      <c r="B328" s="10"/>
      <c r="C328" s="263"/>
      <c r="D328" s="263"/>
      <c r="E328" s="263"/>
      <c r="F328" s="263"/>
      <c r="G328" s="265"/>
      <c r="H328" s="263"/>
    </row>
    <row r="329" spans="1:8" ht="20.25" customHeight="1">
      <c r="A329" s="1155" t="s">
        <v>246</v>
      </c>
      <c r="B329" s="1155"/>
      <c r="C329" s="1155"/>
      <c r="D329" s="1155"/>
      <c r="E329" s="1155"/>
      <c r="F329" s="1155"/>
      <c r="G329" s="1155"/>
      <c r="H329" s="1155"/>
    </row>
    <row r="330" spans="1:8" ht="15" customHeight="1">
      <c r="A330" s="1154" t="s">
        <v>4</v>
      </c>
      <c r="B330" s="1156" t="s">
        <v>5</v>
      </c>
      <c r="C330" s="1156" t="s">
        <v>6</v>
      </c>
      <c r="D330" s="615" t="s">
        <v>7</v>
      </c>
      <c r="E330" s="615" t="s">
        <v>8</v>
      </c>
      <c r="F330" s="615" t="s">
        <v>9</v>
      </c>
      <c r="G330" s="615" t="s">
        <v>10</v>
      </c>
      <c r="H330" s="615" t="s">
        <v>11</v>
      </c>
    </row>
    <row r="331" spans="1:8" ht="15">
      <c r="A331" s="1154"/>
      <c r="B331" s="1157"/>
      <c r="C331" s="1157"/>
      <c r="D331" s="618" t="s">
        <v>12</v>
      </c>
      <c r="E331" s="618" t="s">
        <v>13</v>
      </c>
      <c r="F331" s="619" t="s">
        <v>214</v>
      </c>
      <c r="G331" s="619" t="s">
        <v>214</v>
      </c>
      <c r="H331" s="618" t="s">
        <v>15</v>
      </c>
    </row>
    <row r="332" spans="1:8" ht="15">
      <c r="A332" s="361">
        <v>1</v>
      </c>
      <c r="B332" s="362" t="s">
        <v>34</v>
      </c>
      <c r="C332" s="362">
        <v>1</v>
      </c>
      <c r="D332" s="362">
        <v>31</v>
      </c>
      <c r="E332" s="363">
        <v>6735</v>
      </c>
      <c r="F332" s="311">
        <v>3704250</v>
      </c>
      <c r="G332" s="579">
        <v>229000</v>
      </c>
      <c r="H332" s="362">
        <v>22</v>
      </c>
    </row>
    <row r="333" spans="1:8" ht="15">
      <c r="A333" s="361">
        <v>2</v>
      </c>
      <c r="B333" s="362" t="s">
        <v>59</v>
      </c>
      <c r="C333" s="362"/>
      <c r="D333" s="362"/>
      <c r="E333" s="363"/>
      <c r="F333" s="364"/>
      <c r="G333" s="363">
        <v>18085000</v>
      </c>
      <c r="H333" s="362"/>
    </row>
    <row r="334" spans="1:8" ht="15">
      <c r="A334" s="361">
        <v>3</v>
      </c>
      <c r="B334" s="362" t="s">
        <v>31</v>
      </c>
      <c r="C334" s="362">
        <v>11</v>
      </c>
      <c r="D334" s="362">
        <v>435.395</v>
      </c>
      <c r="E334" s="363">
        <v>55944</v>
      </c>
      <c r="F334" s="580">
        <v>20139840</v>
      </c>
      <c r="G334" s="579">
        <v>3021000</v>
      </c>
      <c r="H334" s="362">
        <v>67</v>
      </c>
    </row>
    <row r="335" spans="1:8" ht="15">
      <c r="A335" s="361">
        <v>4</v>
      </c>
      <c r="B335" s="362" t="s">
        <v>39</v>
      </c>
      <c r="C335" s="362"/>
      <c r="D335" s="362"/>
      <c r="E335" s="363">
        <v>242133</v>
      </c>
      <c r="F335" s="363">
        <v>121066500</v>
      </c>
      <c r="G335" s="579">
        <v>15248000</v>
      </c>
      <c r="H335" s="363"/>
    </row>
    <row r="336" spans="1:8" ht="15">
      <c r="A336" s="361">
        <v>5</v>
      </c>
      <c r="B336" s="362" t="s">
        <v>91</v>
      </c>
      <c r="C336" s="362"/>
      <c r="D336" s="362"/>
      <c r="E336" s="427">
        <v>2160</v>
      </c>
      <c r="F336" s="580"/>
      <c r="G336" s="363"/>
      <c r="H336" s="362"/>
    </row>
    <row r="337" spans="1:8" ht="15">
      <c r="A337" s="361">
        <v>6</v>
      </c>
      <c r="B337" s="362" t="s">
        <v>57</v>
      </c>
      <c r="C337" s="362"/>
      <c r="D337" s="362"/>
      <c r="E337" s="427">
        <v>16500</v>
      </c>
      <c r="F337" s="364"/>
      <c r="G337" s="363"/>
      <c r="H337" s="362"/>
    </row>
    <row r="338" spans="1:8" ht="15">
      <c r="A338" s="361">
        <v>7</v>
      </c>
      <c r="B338" s="362" t="s">
        <v>55</v>
      </c>
      <c r="C338" s="362">
        <v>1</v>
      </c>
      <c r="D338" s="362">
        <v>3620</v>
      </c>
      <c r="E338" s="363">
        <v>304180</v>
      </c>
      <c r="F338" s="581">
        <v>608360000</v>
      </c>
      <c r="G338" s="363">
        <v>123385000</v>
      </c>
      <c r="H338" s="362">
        <v>1500</v>
      </c>
    </row>
    <row r="339" spans="1:8" ht="15">
      <c r="A339" s="361">
        <v>8</v>
      </c>
      <c r="B339" s="353" t="s">
        <v>27</v>
      </c>
      <c r="C339" s="362">
        <v>2</v>
      </c>
      <c r="D339" s="362">
        <v>918.274</v>
      </c>
      <c r="E339" s="363">
        <v>3380</v>
      </c>
      <c r="F339" s="364"/>
      <c r="G339" s="363">
        <v>144000</v>
      </c>
      <c r="H339" s="362"/>
    </row>
    <row r="340" spans="1:8" ht="15">
      <c r="A340" s="361">
        <v>9</v>
      </c>
      <c r="B340" s="362" t="s">
        <v>110</v>
      </c>
      <c r="C340" s="362">
        <v>5</v>
      </c>
      <c r="D340" s="362">
        <v>168.2</v>
      </c>
      <c r="E340" s="582">
        <v>49250</v>
      </c>
      <c r="F340" s="363">
        <v>17237500</v>
      </c>
      <c r="G340" s="583">
        <v>1035000</v>
      </c>
      <c r="H340" s="362">
        <v>50</v>
      </c>
    </row>
    <row r="341" spans="1:8" ht="15">
      <c r="A341" s="361">
        <v>10</v>
      </c>
      <c r="B341" s="362" t="s">
        <v>35</v>
      </c>
      <c r="C341" s="362">
        <v>6</v>
      </c>
      <c r="D341" s="362">
        <v>196.354</v>
      </c>
      <c r="E341" s="363">
        <v>21850</v>
      </c>
      <c r="F341" s="363">
        <v>4588500</v>
      </c>
      <c r="G341" s="579">
        <v>874000</v>
      </c>
      <c r="H341" s="362">
        <v>85</v>
      </c>
    </row>
    <row r="342" spans="1:8" ht="15">
      <c r="A342" s="361">
        <v>11</v>
      </c>
      <c r="B342" s="362" t="s">
        <v>72</v>
      </c>
      <c r="C342" s="362">
        <v>53</v>
      </c>
      <c r="D342" s="362">
        <v>206</v>
      </c>
      <c r="E342" s="363">
        <v>120746</v>
      </c>
      <c r="F342" s="364">
        <v>26564120</v>
      </c>
      <c r="G342" s="363">
        <v>4296000</v>
      </c>
      <c r="H342" s="362">
        <v>300</v>
      </c>
    </row>
    <row r="343" spans="1:8" ht="15">
      <c r="A343" s="361">
        <v>12</v>
      </c>
      <c r="B343" s="362" t="s">
        <v>111</v>
      </c>
      <c r="C343" s="362">
        <v>5</v>
      </c>
      <c r="D343" s="362">
        <v>2533.981</v>
      </c>
      <c r="E343" s="584">
        <v>1439726</v>
      </c>
      <c r="F343" s="363">
        <v>2879452000</v>
      </c>
      <c r="G343" s="583">
        <v>726203000</v>
      </c>
      <c r="H343" s="362">
        <v>1120</v>
      </c>
    </row>
    <row r="344" spans="1:8" ht="15.75">
      <c r="A344" s="361">
        <v>13</v>
      </c>
      <c r="B344" s="362" t="s">
        <v>263</v>
      </c>
      <c r="C344" s="362"/>
      <c r="D344" s="362"/>
      <c r="E344" s="477">
        <v>2</v>
      </c>
      <c r="F344" s="477">
        <v>108514800</v>
      </c>
      <c r="G344" s="477">
        <v>6656000</v>
      </c>
      <c r="H344" s="362"/>
    </row>
    <row r="345" spans="1:8" ht="15">
      <c r="A345" s="361">
        <v>14</v>
      </c>
      <c r="B345" s="362" t="s">
        <v>25</v>
      </c>
      <c r="C345" s="362">
        <v>86</v>
      </c>
      <c r="D345" s="362">
        <v>3943.0580000000004</v>
      </c>
      <c r="E345" s="363">
        <v>139797</v>
      </c>
      <c r="F345" s="363">
        <v>62830275</v>
      </c>
      <c r="G345" s="585">
        <v>20883250</v>
      </c>
      <c r="H345" s="362">
        <v>630</v>
      </c>
    </row>
    <row r="346" spans="1:8" ht="15">
      <c r="A346" s="361">
        <v>15</v>
      </c>
      <c r="B346" s="353" t="s">
        <v>22</v>
      </c>
      <c r="C346" s="362">
        <v>1</v>
      </c>
      <c r="D346" s="362">
        <v>101.8</v>
      </c>
      <c r="E346" s="363"/>
      <c r="F346" s="364"/>
      <c r="G346" s="363"/>
      <c r="H346" s="362"/>
    </row>
    <row r="347" spans="1:8" ht="30.75" customHeight="1">
      <c r="A347" s="625"/>
      <c r="B347" s="621" t="s">
        <v>19</v>
      </c>
      <c r="C347" s="623">
        <f aca="true" t="shared" si="23" ref="C347:H347">SUM(C332:C346)</f>
        <v>171</v>
      </c>
      <c r="D347" s="624">
        <f t="shared" si="23"/>
        <v>12154.062</v>
      </c>
      <c r="E347" s="622">
        <f t="shared" si="23"/>
        <v>2402403</v>
      </c>
      <c r="F347" s="623">
        <f t="shared" si="23"/>
        <v>3852457785</v>
      </c>
      <c r="G347" s="622">
        <f t="shared" si="23"/>
        <v>920059250</v>
      </c>
      <c r="H347" s="623">
        <f t="shared" si="23"/>
        <v>3774</v>
      </c>
    </row>
    <row r="348" spans="1:8" ht="15">
      <c r="A348" s="7"/>
      <c r="B348" s="7"/>
      <c r="C348" s="7"/>
      <c r="D348" s="7"/>
      <c r="E348" s="62"/>
      <c r="F348" s="7"/>
      <c r="G348" s="7"/>
      <c r="H348" s="7"/>
    </row>
    <row r="349" spans="1:8" ht="27.75">
      <c r="A349" s="1149" t="s">
        <v>247</v>
      </c>
      <c r="B349" s="1149"/>
      <c r="C349" s="1149"/>
      <c r="D349" s="1149"/>
      <c r="E349" s="1149"/>
      <c r="F349" s="1149"/>
      <c r="G349" s="1149"/>
      <c r="H349" s="1149"/>
    </row>
    <row r="350" spans="1:8" ht="18.75">
      <c r="A350" s="1153" t="s">
        <v>248</v>
      </c>
      <c r="B350" s="1153"/>
      <c r="C350" s="1153"/>
      <c r="D350" s="1153"/>
      <c r="E350" s="1153"/>
      <c r="F350" s="1153"/>
      <c r="G350" s="1153"/>
      <c r="H350" s="1153"/>
    </row>
    <row r="351" spans="1:8" ht="15.75">
      <c r="A351" s="1158" t="s">
        <v>380</v>
      </c>
      <c r="B351" s="1158"/>
      <c r="C351" s="1158"/>
      <c r="D351" s="1158"/>
      <c r="E351" s="1158"/>
      <c r="F351" s="1158"/>
      <c r="G351" s="1158"/>
      <c r="H351" s="1158"/>
    </row>
    <row r="352" spans="1:8" ht="15" customHeight="1">
      <c r="A352" s="1154" t="s">
        <v>4</v>
      </c>
      <c r="B352" s="1156" t="s">
        <v>5</v>
      </c>
      <c r="C352" s="1156" t="s">
        <v>6</v>
      </c>
      <c r="D352" s="615" t="s">
        <v>7</v>
      </c>
      <c r="E352" s="615" t="s">
        <v>8</v>
      </c>
      <c r="F352" s="615" t="s">
        <v>9</v>
      </c>
      <c r="G352" s="615" t="s">
        <v>10</v>
      </c>
      <c r="H352" s="615" t="s">
        <v>11</v>
      </c>
    </row>
    <row r="353" spans="1:8" ht="15">
      <c r="A353" s="1154"/>
      <c r="B353" s="1157"/>
      <c r="C353" s="1157"/>
      <c r="D353" s="618" t="s">
        <v>12</v>
      </c>
      <c r="E353" s="618" t="s">
        <v>13</v>
      </c>
      <c r="F353" s="619" t="s">
        <v>214</v>
      </c>
      <c r="G353" s="619" t="s">
        <v>214</v>
      </c>
      <c r="H353" s="618" t="s">
        <v>15</v>
      </c>
    </row>
    <row r="354" spans="1:8" ht="15.75">
      <c r="A354" s="300">
        <v>1</v>
      </c>
      <c r="B354" s="301" t="s">
        <v>213</v>
      </c>
      <c r="C354" s="274">
        <f aca="true" t="shared" si="24" ref="C354:H354">C23</f>
        <v>562</v>
      </c>
      <c r="D354" s="302">
        <f t="shared" si="24"/>
        <v>4653.1320000000005</v>
      </c>
      <c r="E354" s="302">
        <f t="shared" si="24"/>
        <v>2048882</v>
      </c>
      <c r="F354" s="302">
        <f t="shared" si="24"/>
        <v>456745332</v>
      </c>
      <c r="G354" s="274">
        <f t="shared" si="24"/>
        <v>162167423</v>
      </c>
      <c r="H354" s="274">
        <f t="shared" si="24"/>
        <v>4449</v>
      </c>
    </row>
    <row r="355" spans="1:8" ht="15.75">
      <c r="A355" s="79">
        <v>2</v>
      </c>
      <c r="B355" s="301" t="s">
        <v>215</v>
      </c>
      <c r="C355" s="16">
        <f aca="true" t="shared" si="25" ref="C355:H355">C36</f>
        <v>7</v>
      </c>
      <c r="D355" s="91">
        <f t="shared" si="25"/>
        <v>110.14410000000001</v>
      </c>
      <c r="E355" s="91">
        <f t="shared" si="25"/>
        <v>11293</v>
      </c>
      <c r="F355" s="91">
        <f t="shared" si="25"/>
        <v>3086250</v>
      </c>
      <c r="G355" s="16">
        <f t="shared" si="25"/>
        <v>380024</v>
      </c>
      <c r="H355" s="16">
        <f t="shared" si="25"/>
        <v>6</v>
      </c>
    </row>
    <row r="356" spans="1:8" ht="15.75">
      <c r="A356" s="300">
        <v>3</v>
      </c>
      <c r="B356" s="299" t="s">
        <v>216</v>
      </c>
      <c r="C356" s="16">
        <f aca="true" t="shared" si="26" ref="C356:H356">C48</f>
        <v>4</v>
      </c>
      <c r="D356" s="91">
        <f t="shared" si="26"/>
        <v>219.42749999999998</v>
      </c>
      <c r="E356" s="91">
        <f>E48</f>
        <v>1280876</v>
      </c>
      <c r="F356" s="16">
        <f t="shared" si="26"/>
        <v>153873890</v>
      </c>
      <c r="G356" s="16">
        <f t="shared" si="26"/>
        <v>83788000</v>
      </c>
      <c r="H356" s="16">
        <f t="shared" si="26"/>
        <v>1120</v>
      </c>
    </row>
    <row r="357" spans="1:8" ht="15.75">
      <c r="A357" s="364">
        <v>4</v>
      </c>
      <c r="B357" s="396" t="s">
        <v>249</v>
      </c>
      <c r="C357" s="391">
        <f aca="true" t="shared" si="27" ref="C357:H357">C60</f>
        <v>16</v>
      </c>
      <c r="D357" s="91">
        <f t="shared" si="27"/>
        <v>8245.3925</v>
      </c>
      <c r="E357" s="91">
        <f t="shared" si="27"/>
        <v>4772623</v>
      </c>
      <c r="F357" s="91">
        <f t="shared" si="27"/>
        <v>3212212032</v>
      </c>
      <c r="G357" s="16">
        <f t="shared" si="27"/>
        <v>348894006</v>
      </c>
      <c r="H357" s="16">
        <f t="shared" si="27"/>
        <v>534</v>
      </c>
    </row>
    <row r="358" spans="1:8" ht="15.75">
      <c r="A358" s="311">
        <v>5</v>
      </c>
      <c r="B358" s="396" t="s">
        <v>219</v>
      </c>
      <c r="C358" s="391">
        <f aca="true" t="shared" si="28" ref="C358:H358">C68</f>
        <v>17</v>
      </c>
      <c r="D358" s="91">
        <f t="shared" si="28"/>
        <v>412.6961</v>
      </c>
      <c r="E358" s="91">
        <f t="shared" si="28"/>
        <v>110403.37</v>
      </c>
      <c r="F358" s="91">
        <f t="shared" si="28"/>
        <v>4993985</v>
      </c>
      <c r="G358" s="16">
        <f t="shared" si="28"/>
        <v>3631612</v>
      </c>
      <c r="H358" s="16">
        <f t="shared" si="28"/>
        <v>28</v>
      </c>
    </row>
    <row r="359" spans="1:8" ht="15.75">
      <c r="A359" s="364">
        <v>6</v>
      </c>
      <c r="B359" s="396" t="s">
        <v>220</v>
      </c>
      <c r="C359" s="392">
        <f aca="true" t="shared" si="29" ref="C359:H359">C90</f>
        <v>668</v>
      </c>
      <c r="D359" s="302">
        <f t="shared" si="29"/>
        <v>10040.8057</v>
      </c>
      <c r="E359" s="302">
        <f t="shared" si="29"/>
        <v>9319241</v>
      </c>
      <c r="F359" s="302">
        <f t="shared" si="29"/>
        <v>21278790690</v>
      </c>
      <c r="G359" s="274">
        <f t="shared" si="29"/>
        <v>7471937318</v>
      </c>
      <c r="H359" s="274">
        <f t="shared" si="29"/>
        <v>7027</v>
      </c>
    </row>
    <row r="360" spans="1:8" ht="15.75">
      <c r="A360" s="311">
        <v>7</v>
      </c>
      <c r="B360" s="396" t="s">
        <v>221</v>
      </c>
      <c r="C360" s="392">
        <f aca="true" t="shared" si="30" ref="C360:H360">C99</f>
        <v>113</v>
      </c>
      <c r="D360" s="302">
        <f t="shared" si="30"/>
        <v>14227.14</v>
      </c>
      <c r="E360" s="302">
        <f t="shared" si="30"/>
        <v>6225234</v>
      </c>
      <c r="F360" s="302">
        <f t="shared" si="30"/>
        <v>5520035000</v>
      </c>
      <c r="G360" s="274">
        <f t="shared" si="30"/>
        <v>470185419</v>
      </c>
      <c r="H360" s="274">
        <f t="shared" si="30"/>
        <v>1253</v>
      </c>
    </row>
    <row r="361" spans="1:8" ht="15.75">
      <c r="A361" s="364">
        <v>8</v>
      </c>
      <c r="B361" s="396" t="s">
        <v>250</v>
      </c>
      <c r="C361" s="393">
        <f aca="true" t="shared" si="31" ref="C361:H361">C108</f>
        <v>4</v>
      </c>
      <c r="D361" s="91">
        <f t="shared" si="31"/>
        <v>1707.3</v>
      </c>
      <c r="E361" s="91">
        <f t="shared" si="31"/>
        <v>1048568</v>
      </c>
      <c r="F361" s="91">
        <f t="shared" si="31"/>
        <v>247929170</v>
      </c>
      <c r="G361" s="91">
        <f t="shared" si="31"/>
        <v>67533884</v>
      </c>
      <c r="H361" s="91">
        <f t="shared" si="31"/>
        <v>229</v>
      </c>
    </row>
    <row r="362" spans="1:8" ht="15.75">
      <c r="A362" s="311">
        <v>9</v>
      </c>
      <c r="B362" s="396" t="s">
        <v>223</v>
      </c>
      <c r="C362" s="393">
        <f aca="true" t="shared" si="32" ref="C362:H362">C120</f>
        <v>87</v>
      </c>
      <c r="D362" s="91">
        <f t="shared" si="32"/>
        <v>5834.303599999999</v>
      </c>
      <c r="E362" s="91">
        <f t="shared" si="32"/>
        <v>14067357</v>
      </c>
      <c r="F362" s="91">
        <f t="shared" si="32"/>
        <v>2716166339</v>
      </c>
      <c r="G362" s="91">
        <f>G120</f>
        <v>837817005</v>
      </c>
      <c r="H362" s="91">
        <f t="shared" si="32"/>
        <v>928</v>
      </c>
    </row>
    <row r="363" spans="1:8" ht="15.75">
      <c r="A363" s="364">
        <v>10</v>
      </c>
      <c r="B363" s="396" t="s">
        <v>225</v>
      </c>
      <c r="C363" s="394">
        <f aca="true" t="shared" si="33" ref="C363:H363">C130</f>
        <v>10</v>
      </c>
      <c r="D363" s="303">
        <f t="shared" si="33"/>
        <v>320.4044</v>
      </c>
      <c r="E363" s="303">
        <f t="shared" si="33"/>
        <v>28735</v>
      </c>
      <c r="F363" s="303">
        <f t="shared" si="33"/>
        <v>6034350</v>
      </c>
      <c r="G363" s="175">
        <f t="shared" si="33"/>
        <v>947000</v>
      </c>
      <c r="H363" s="175">
        <f t="shared" si="33"/>
        <v>63</v>
      </c>
    </row>
    <row r="364" spans="1:8" ht="15.75">
      <c r="A364" s="311">
        <v>11</v>
      </c>
      <c r="B364" s="396" t="s">
        <v>227</v>
      </c>
      <c r="C364" s="392">
        <f aca="true" t="shared" si="34" ref="C364:H364">C137</f>
        <v>37</v>
      </c>
      <c r="D364" s="302">
        <f t="shared" si="34"/>
        <v>1080.457</v>
      </c>
      <c r="E364" s="302">
        <f t="shared" si="34"/>
        <v>60160.81</v>
      </c>
      <c r="F364" s="302">
        <f t="shared" si="34"/>
        <v>45225942</v>
      </c>
      <c r="G364" s="274">
        <f t="shared" si="34"/>
        <v>5043492</v>
      </c>
      <c r="H364" s="274">
        <f t="shared" si="34"/>
        <v>300</v>
      </c>
    </row>
    <row r="365" spans="1:8" ht="15.75">
      <c r="A365" s="364">
        <v>12</v>
      </c>
      <c r="B365" s="396" t="s">
        <v>228</v>
      </c>
      <c r="C365" s="392">
        <f aca="true" t="shared" si="35" ref="C365:H365">C144</f>
        <v>6</v>
      </c>
      <c r="D365" s="302">
        <f t="shared" si="35"/>
        <v>3673.38</v>
      </c>
      <c r="E365" s="302">
        <f t="shared" si="35"/>
        <v>24927</v>
      </c>
      <c r="F365" s="302">
        <f t="shared" si="35"/>
        <v>11840587</v>
      </c>
      <c r="G365" s="274">
        <f t="shared" si="35"/>
        <v>2801000</v>
      </c>
      <c r="H365" s="274">
        <f t="shared" si="35"/>
        <v>60</v>
      </c>
    </row>
    <row r="366" spans="1:8" ht="15.75">
      <c r="A366" s="395">
        <v>13</v>
      </c>
      <c r="B366" s="301" t="s">
        <v>230</v>
      </c>
      <c r="C366" s="274">
        <f aca="true" t="shared" si="36" ref="C366:H366">C161</f>
        <v>113</v>
      </c>
      <c r="D366" s="302">
        <f t="shared" si="36"/>
        <v>4190.3066</v>
      </c>
      <c r="E366" s="302">
        <f t="shared" si="36"/>
        <v>4646339.23</v>
      </c>
      <c r="F366" s="302">
        <f t="shared" si="36"/>
        <v>1639588551</v>
      </c>
      <c r="G366" s="274">
        <f t="shared" si="36"/>
        <v>291996000</v>
      </c>
      <c r="H366" s="274">
        <f t="shared" si="36"/>
        <v>5820</v>
      </c>
    </row>
    <row r="367" spans="1:8" ht="15.75">
      <c r="A367" s="79">
        <v>14</v>
      </c>
      <c r="B367" s="301" t="s">
        <v>251</v>
      </c>
      <c r="C367" s="16">
        <f aca="true" t="shared" si="37" ref="C367:H367">C173</f>
        <v>17</v>
      </c>
      <c r="D367" s="91">
        <f t="shared" si="37"/>
        <v>3049.4500000000003</v>
      </c>
      <c r="E367" s="91">
        <f t="shared" si="37"/>
        <v>2822807</v>
      </c>
      <c r="F367" s="91">
        <f t="shared" si="37"/>
        <v>1573625133</v>
      </c>
      <c r="G367" s="16">
        <f t="shared" si="37"/>
        <v>202555000</v>
      </c>
      <c r="H367" s="16">
        <f t="shared" si="37"/>
        <v>485</v>
      </c>
    </row>
    <row r="368" spans="1:8" ht="15.75">
      <c r="A368" s="300">
        <v>15</v>
      </c>
      <c r="B368" s="301" t="s">
        <v>231</v>
      </c>
      <c r="C368" s="274">
        <f aca="true" t="shared" si="38" ref="C368:H368">C182</f>
        <v>6</v>
      </c>
      <c r="D368" s="302">
        <f t="shared" si="38"/>
        <v>1277.6</v>
      </c>
      <c r="E368" s="302">
        <f t="shared" si="38"/>
        <v>850</v>
      </c>
      <c r="F368" s="302">
        <f t="shared" si="38"/>
        <v>8921500</v>
      </c>
      <c r="G368" s="274">
        <f t="shared" si="38"/>
        <v>31000</v>
      </c>
      <c r="H368" s="274">
        <f t="shared" si="38"/>
        <v>121</v>
      </c>
    </row>
    <row r="369" spans="1:8" ht="15.75">
      <c r="A369" s="79">
        <v>16</v>
      </c>
      <c r="B369" s="301" t="s">
        <v>233</v>
      </c>
      <c r="C369" s="16">
        <f aca="true" t="shared" si="39" ref="C369:H369">C196</f>
        <v>42</v>
      </c>
      <c r="D369" s="91">
        <f t="shared" si="39"/>
        <v>1176.556</v>
      </c>
      <c r="E369" s="91">
        <f t="shared" si="39"/>
        <v>1088776</v>
      </c>
      <c r="F369" s="91">
        <f t="shared" si="39"/>
        <v>1998459550</v>
      </c>
      <c r="G369" s="16">
        <f t="shared" si="39"/>
        <v>158941000</v>
      </c>
      <c r="H369" s="16">
        <f t="shared" si="39"/>
        <v>1745</v>
      </c>
    </row>
    <row r="370" spans="1:8" ht="15.75">
      <c r="A370" s="300">
        <v>17</v>
      </c>
      <c r="B370" s="301" t="s">
        <v>252</v>
      </c>
      <c r="C370" s="16">
        <f aca="true" t="shared" si="40" ref="C370:H370">C204</f>
        <v>9</v>
      </c>
      <c r="D370" s="91">
        <f t="shared" si="40"/>
        <v>431.92</v>
      </c>
      <c r="E370" s="91">
        <f t="shared" si="40"/>
        <v>0</v>
      </c>
      <c r="F370" s="91">
        <f t="shared" si="40"/>
        <v>0</v>
      </c>
      <c r="G370" s="16">
        <f t="shared" si="40"/>
        <v>16000</v>
      </c>
      <c r="H370" s="16">
        <f t="shared" si="40"/>
        <v>0</v>
      </c>
    </row>
    <row r="371" spans="1:8" ht="15.75">
      <c r="A371" s="79">
        <v>18</v>
      </c>
      <c r="B371" s="301" t="s">
        <v>253</v>
      </c>
      <c r="C371" s="274">
        <f aca="true" t="shared" si="41" ref="C371:H371">C213</f>
        <v>50</v>
      </c>
      <c r="D371" s="302">
        <f t="shared" si="41"/>
        <v>1579.8956</v>
      </c>
      <c r="E371" s="302">
        <f t="shared" si="41"/>
        <v>448218</v>
      </c>
      <c r="F371" s="302">
        <f t="shared" si="41"/>
        <v>159353800</v>
      </c>
      <c r="G371" s="274">
        <f t="shared" si="41"/>
        <v>11596000</v>
      </c>
      <c r="H371" s="274">
        <f t="shared" si="41"/>
        <v>926</v>
      </c>
    </row>
    <row r="372" spans="1:8" ht="15.75">
      <c r="A372" s="300">
        <v>19</v>
      </c>
      <c r="B372" s="301" t="s">
        <v>236</v>
      </c>
      <c r="C372" s="91">
        <f aca="true" t="shared" si="42" ref="C372:H372">C219</f>
        <v>1</v>
      </c>
      <c r="D372" s="91">
        <f t="shared" si="42"/>
        <v>895.42</v>
      </c>
      <c r="E372" s="91">
        <f t="shared" si="42"/>
        <v>2260827</v>
      </c>
      <c r="F372" s="91">
        <f t="shared" si="42"/>
        <v>413731341</v>
      </c>
      <c r="G372" s="91">
        <f>G219</f>
        <v>139549000</v>
      </c>
      <c r="H372" s="91">
        <f t="shared" si="42"/>
        <v>63</v>
      </c>
    </row>
    <row r="373" spans="1:8" ht="15.75">
      <c r="A373" s="79">
        <v>20</v>
      </c>
      <c r="B373" s="301" t="s">
        <v>237</v>
      </c>
      <c r="C373" s="274">
        <f aca="true" t="shared" si="43" ref="C373:H373">C231</f>
        <v>102</v>
      </c>
      <c r="D373" s="302">
        <f t="shared" si="43"/>
        <v>5111.5718</v>
      </c>
      <c r="E373" s="302">
        <f t="shared" si="43"/>
        <v>2079697.52</v>
      </c>
      <c r="F373" s="302">
        <f t="shared" si="43"/>
        <v>632913132</v>
      </c>
      <c r="G373" s="274">
        <f t="shared" si="43"/>
        <v>142991135</v>
      </c>
      <c r="H373" s="274">
        <f t="shared" si="43"/>
        <v>780</v>
      </c>
    </row>
    <row r="374" spans="1:8" ht="15.75">
      <c r="A374" s="300">
        <v>21</v>
      </c>
      <c r="B374" s="301" t="s">
        <v>238</v>
      </c>
      <c r="C374" s="274">
        <f aca="true" t="shared" si="44" ref="C374:H374">C243</f>
        <v>59</v>
      </c>
      <c r="D374" s="302">
        <f t="shared" si="44"/>
        <v>2512.0079</v>
      </c>
      <c r="E374" s="302">
        <f t="shared" si="44"/>
        <v>12527532</v>
      </c>
      <c r="F374" s="302">
        <f t="shared" si="44"/>
        <v>3182287500</v>
      </c>
      <c r="G374" s="274">
        <f t="shared" si="44"/>
        <v>851704000</v>
      </c>
      <c r="H374" s="274">
        <f t="shared" si="44"/>
        <v>518</v>
      </c>
    </row>
    <row r="375" spans="1:8" ht="15.75">
      <c r="A375" s="79">
        <v>22</v>
      </c>
      <c r="B375" s="301" t="s">
        <v>239</v>
      </c>
      <c r="C375" s="302">
        <f aca="true" t="shared" si="45" ref="C375:H375">C255</f>
        <v>52</v>
      </c>
      <c r="D375" s="302">
        <f t="shared" si="45"/>
        <v>1812.37</v>
      </c>
      <c r="E375" s="302">
        <f t="shared" si="45"/>
        <v>826522</v>
      </c>
      <c r="F375" s="302">
        <f t="shared" si="45"/>
        <v>277586330</v>
      </c>
      <c r="G375" s="302">
        <f t="shared" si="45"/>
        <v>50141000</v>
      </c>
      <c r="H375" s="302">
        <f t="shared" si="45"/>
        <v>3839</v>
      </c>
    </row>
    <row r="376" spans="1:8" ht="15.75">
      <c r="A376" s="300">
        <v>23</v>
      </c>
      <c r="B376" s="301" t="s">
        <v>254</v>
      </c>
      <c r="C376" s="274">
        <f aca="true" t="shared" si="46" ref="C376:H376">C274</f>
        <v>727</v>
      </c>
      <c r="D376" s="302">
        <f t="shared" si="46"/>
        <v>7424.66027</v>
      </c>
      <c r="E376" s="302">
        <f t="shared" si="46"/>
        <v>3355380</v>
      </c>
      <c r="F376" s="302">
        <f t="shared" si="46"/>
        <v>13105809526</v>
      </c>
      <c r="G376" s="274">
        <f t="shared" si="46"/>
        <v>2019269000</v>
      </c>
      <c r="H376" s="274">
        <f t="shared" si="46"/>
        <v>7533</v>
      </c>
    </row>
    <row r="377" spans="1:8" ht="15.75">
      <c r="A377" s="79">
        <v>24</v>
      </c>
      <c r="B377" s="304" t="s">
        <v>255</v>
      </c>
      <c r="C377" s="16">
        <f aca="true" t="shared" si="47" ref="C377:H377">C284</f>
        <v>11</v>
      </c>
      <c r="D377" s="91">
        <f t="shared" si="47"/>
        <v>564.3453</v>
      </c>
      <c r="E377" s="91">
        <f t="shared" si="47"/>
        <v>55779</v>
      </c>
      <c r="F377" s="91">
        <f t="shared" si="47"/>
        <v>6762610</v>
      </c>
      <c r="G377" s="16">
        <f t="shared" si="47"/>
        <v>2227800</v>
      </c>
      <c r="H377" s="16">
        <f t="shared" si="47"/>
        <v>77</v>
      </c>
    </row>
    <row r="378" spans="1:8" ht="15.75">
      <c r="A378" s="300">
        <v>25</v>
      </c>
      <c r="B378" s="301" t="s">
        <v>256</v>
      </c>
      <c r="C378" s="274">
        <f aca="true" t="shared" si="48" ref="C378:H378">C317</f>
        <v>13</v>
      </c>
      <c r="D378" s="302">
        <f t="shared" si="48"/>
        <v>1087.79</v>
      </c>
      <c r="E378" s="302">
        <f t="shared" si="48"/>
        <v>352032</v>
      </c>
      <c r="F378" s="302">
        <f t="shared" si="48"/>
        <v>167214938</v>
      </c>
      <c r="G378" s="274">
        <f t="shared" si="48"/>
        <v>30643000</v>
      </c>
      <c r="H378" s="274">
        <f t="shared" si="48"/>
        <v>130</v>
      </c>
    </row>
    <row r="379" spans="1:8" ht="15.75">
      <c r="A379" s="79">
        <v>26</v>
      </c>
      <c r="B379" s="301" t="s">
        <v>243</v>
      </c>
      <c r="C379" s="274">
        <f aca="true" t="shared" si="49" ref="C379:H379">C298</f>
        <v>124</v>
      </c>
      <c r="D379" s="302">
        <f t="shared" si="49"/>
        <v>3073.5161</v>
      </c>
      <c r="E379" s="302">
        <f t="shared" si="49"/>
        <v>665750</v>
      </c>
      <c r="F379" s="302">
        <f t="shared" si="49"/>
        <v>230746850</v>
      </c>
      <c r="G379" s="274">
        <f t="shared" si="49"/>
        <v>31416000</v>
      </c>
      <c r="H379" s="274">
        <f t="shared" si="49"/>
        <v>324</v>
      </c>
    </row>
    <row r="380" spans="1:8" ht="15.75">
      <c r="A380" s="300">
        <v>27</v>
      </c>
      <c r="B380" s="305" t="s">
        <v>244</v>
      </c>
      <c r="C380" s="16">
        <f aca="true" t="shared" si="50" ref="C380:H380">C309</f>
        <v>24</v>
      </c>
      <c r="D380" s="91">
        <f t="shared" si="50"/>
        <v>1581.37</v>
      </c>
      <c r="E380" s="91">
        <f t="shared" si="50"/>
        <v>12703536</v>
      </c>
      <c r="F380" s="91">
        <f t="shared" si="50"/>
        <v>1512509880</v>
      </c>
      <c r="G380" s="16">
        <f t="shared" si="50"/>
        <v>845794000</v>
      </c>
      <c r="H380" s="16">
        <f t="shared" si="50"/>
        <v>1765</v>
      </c>
    </row>
    <row r="381" spans="1:8" ht="15.75">
      <c r="A381" s="79">
        <v>28</v>
      </c>
      <c r="B381" s="301" t="s">
        <v>257</v>
      </c>
      <c r="C381" s="16">
        <f aca="true" t="shared" si="51" ref="C381:H381">C327</f>
        <v>54</v>
      </c>
      <c r="D381" s="91">
        <f t="shared" si="51"/>
        <v>263.45750000000004</v>
      </c>
      <c r="E381" s="91">
        <f t="shared" si="51"/>
        <v>102205</v>
      </c>
      <c r="F381" s="91">
        <f t="shared" si="51"/>
        <v>24215540</v>
      </c>
      <c r="G381" s="16">
        <f t="shared" si="51"/>
        <v>4297200</v>
      </c>
      <c r="H381" s="16">
        <f t="shared" si="51"/>
        <v>129</v>
      </c>
    </row>
    <row r="382" spans="1:8" ht="15.75">
      <c r="A382" s="300">
        <v>29</v>
      </c>
      <c r="B382" s="301" t="s">
        <v>246</v>
      </c>
      <c r="C382" s="16">
        <f aca="true" t="shared" si="52" ref="C382:H382">C347</f>
        <v>171</v>
      </c>
      <c r="D382" s="91">
        <f t="shared" si="52"/>
        <v>12154.062</v>
      </c>
      <c r="E382" s="91">
        <f>E347</f>
        <v>2402403</v>
      </c>
      <c r="F382" s="91">
        <f t="shared" si="52"/>
        <v>3852457785</v>
      </c>
      <c r="G382" s="16">
        <f t="shared" si="52"/>
        <v>920059250</v>
      </c>
      <c r="H382" s="16">
        <f t="shared" si="52"/>
        <v>3774</v>
      </c>
    </row>
    <row r="383" spans="1:8" ht="15">
      <c r="A383" s="620"/>
      <c r="B383" s="621" t="s">
        <v>212</v>
      </c>
      <c r="C383" s="622">
        <f aca="true" t="shared" si="53" ref="C383:H383">SUM(C354:C382)</f>
        <v>3106</v>
      </c>
      <c r="D383" s="622">
        <f t="shared" si="53"/>
        <v>98710.88196999999</v>
      </c>
      <c r="E383" s="622">
        <f t="shared" si="53"/>
        <v>85336953.93</v>
      </c>
      <c r="F383" s="622">
        <f t="shared" si="53"/>
        <v>62443117533</v>
      </c>
      <c r="G383" s="622">
        <f t="shared" si="53"/>
        <v>15158352568</v>
      </c>
      <c r="H383" s="622">
        <f t="shared" si="53"/>
        <v>44026</v>
      </c>
    </row>
    <row r="384" spans="1:8" ht="15">
      <c r="A384" s="139"/>
      <c r="B384" s="139"/>
      <c r="C384" s="139"/>
      <c r="D384" s="139"/>
      <c r="E384" s="139"/>
      <c r="F384" s="139"/>
      <c r="G384" s="139"/>
      <c r="H384" s="139"/>
    </row>
    <row r="386" spans="3:8" ht="15">
      <c r="C386" s="172"/>
      <c r="D386" s="172"/>
      <c r="E386" s="172"/>
      <c r="F386" s="172"/>
      <c r="G386" s="172"/>
      <c r="H386" s="172"/>
    </row>
  </sheetData>
  <sheetProtection password="86A8" sheet="1"/>
  <mergeCells count="119">
    <mergeCell ref="B111:B112"/>
    <mergeCell ref="C111:C112"/>
    <mergeCell ref="B123:B124"/>
    <mergeCell ref="C123:C124"/>
    <mergeCell ref="B133:B134"/>
    <mergeCell ref="C133:C134"/>
    <mergeCell ref="C71:C72"/>
    <mergeCell ref="B93:B94"/>
    <mergeCell ref="C93:C94"/>
    <mergeCell ref="B102:B103"/>
    <mergeCell ref="C102:C103"/>
    <mergeCell ref="A92:H92"/>
    <mergeCell ref="B6:B7"/>
    <mergeCell ref="C6:C7"/>
    <mergeCell ref="B26:B27"/>
    <mergeCell ref="C26:C27"/>
    <mergeCell ref="B39:B40"/>
    <mergeCell ref="C39:C40"/>
    <mergeCell ref="A38:H38"/>
    <mergeCell ref="A25:H25"/>
    <mergeCell ref="D28:D29"/>
    <mergeCell ref="A26:A27"/>
    <mergeCell ref="B330:B331"/>
    <mergeCell ref="C330:C331"/>
    <mergeCell ref="B352:B353"/>
    <mergeCell ref="C352:C353"/>
    <mergeCell ref="B164:B165"/>
    <mergeCell ref="C164:C165"/>
    <mergeCell ref="B301:B302"/>
    <mergeCell ref="C301:C302"/>
    <mergeCell ref="B313:B314"/>
    <mergeCell ref="C313:C314"/>
    <mergeCell ref="B320:B321"/>
    <mergeCell ref="C320:C321"/>
    <mergeCell ref="B234:B235"/>
    <mergeCell ref="C234:C235"/>
    <mergeCell ref="B247:B248"/>
    <mergeCell ref="C247:C248"/>
    <mergeCell ref="B258:B259"/>
    <mergeCell ref="C258:C259"/>
    <mergeCell ref="A312:H312"/>
    <mergeCell ref="A300:H300"/>
    <mergeCell ref="A5:H5"/>
    <mergeCell ref="B216:B217"/>
    <mergeCell ref="B223:B224"/>
    <mergeCell ref="C223:C224"/>
    <mergeCell ref="C216:C217"/>
    <mergeCell ref="B147:B148"/>
    <mergeCell ref="C147:C148"/>
    <mergeCell ref="B140:B141"/>
    <mergeCell ref="A110:H110"/>
    <mergeCell ref="A101:H101"/>
    <mergeCell ref="A147:A148"/>
    <mergeCell ref="A70:H70"/>
    <mergeCell ref="A62:H62"/>
    <mergeCell ref="A50:H50"/>
    <mergeCell ref="B51:B52"/>
    <mergeCell ref="C51:C52"/>
    <mergeCell ref="B63:B64"/>
    <mergeCell ref="C63:C64"/>
    <mergeCell ref="A63:A64"/>
    <mergeCell ref="B71:B72"/>
    <mergeCell ref="A146:H146"/>
    <mergeCell ref="A139:H139"/>
    <mergeCell ref="A132:H132"/>
    <mergeCell ref="A122:H122"/>
    <mergeCell ref="C140:C141"/>
    <mergeCell ref="A133:A134"/>
    <mergeCell ref="A140:A141"/>
    <mergeCell ref="A233:H233"/>
    <mergeCell ref="A222:H222"/>
    <mergeCell ref="A215:H215"/>
    <mergeCell ref="A206:H206"/>
    <mergeCell ref="A198:H198"/>
    <mergeCell ref="A184:H184"/>
    <mergeCell ref="A185:A186"/>
    <mergeCell ref="A199:A200"/>
    <mergeCell ref="A286:H286"/>
    <mergeCell ref="A276:H276"/>
    <mergeCell ref="A257:H257"/>
    <mergeCell ref="A246:H246"/>
    <mergeCell ref="B277:B278"/>
    <mergeCell ref="C277:C278"/>
    <mergeCell ref="A164:A165"/>
    <mergeCell ref="A176:A177"/>
    <mergeCell ref="A1:H1"/>
    <mergeCell ref="A2:H2"/>
    <mergeCell ref="A3:H3"/>
    <mergeCell ref="A6:A7"/>
    <mergeCell ref="C28:C29"/>
    <mergeCell ref="A175:H175"/>
    <mergeCell ref="A163:H163"/>
    <mergeCell ref="A39:A40"/>
    <mergeCell ref="A51:A52"/>
    <mergeCell ref="A123:A124"/>
    <mergeCell ref="A93:A94"/>
    <mergeCell ref="A102:A103"/>
    <mergeCell ref="A111:A112"/>
    <mergeCell ref="A71:A72"/>
    <mergeCell ref="A351:H351"/>
    <mergeCell ref="A352:A353"/>
    <mergeCell ref="A234:A235"/>
    <mergeCell ref="A247:A248"/>
    <mergeCell ref="A258:A259"/>
    <mergeCell ref="A277:A278"/>
    <mergeCell ref="A320:A321"/>
    <mergeCell ref="A330:A331"/>
    <mergeCell ref="A287:A288"/>
    <mergeCell ref="A301:A302"/>
    <mergeCell ref="A349:H349"/>
    <mergeCell ref="A350:H350"/>
    <mergeCell ref="A207:A208"/>
    <mergeCell ref="A216:A217"/>
    <mergeCell ref="A223:A224"/>
    <mergeCell ref="A313:A314"/>
    <mergeCell ref="A329:H329"/>
    <mergeCell ref="A319:H319"/>
    <mergeCell ref="B287:B288"/>
    <mergeCell ref="C287:C288"/>
  </mergeCells>
  <printOptions/>
  <pageMargins left="0.7" right="0.7" top="0.75" bottom="0.75" header="0.3" footer="0.3"/>
  <pageSetup horizontalDpi="600" verticalDpi="600" orientation="portrait" paperSize="9" scale="64" r:id="rId1"/>
  <rowBreaks count="5" manualBreakCount="5">
    <brk id="60" max="7" man="1"/>
    <brk id="120" max="7" man="1"/>
    <brk id="173" max="7" man="1"/>
    <brk id="231" max="7" man="1"/>
    <brk id="3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07"/>
  <sheetViews>
    <sheetView zoomScaleSheetLayoutView="100" zoomScalePageLayoutView="0" workbookViewId="0" topLeftCell="A1">
      <selection activeCell="L55" sqref="L55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10.57421875" style="0" customWidth="1"/>
    <col min="4" max="4" width="13.7109375" style="0" customWidth="1"/>
    <col min="5" max="5" width="15.00390625" style="0" customWidth="1"/>
    <col min="6" max="6" width="16.8515625" style="0" customWidth="1"/>
    <col min="7" max="7" width="15.140625" style="0" customWidth="1"/>
    <col min="8" max="8" width="13.140625" style="0" customWidth="1"/>
    <col min="9" max="9" width="3.8515625" style="0" customWidth="1"/>
  </cols>
  <sheetData>
    <row r="1" spans="1:8" ht="27.75">
      <c r="A1" s="1168" t="s">
        <v>119</v>
      </c>
      <c r="B1" s="1168"/>
      <c r="C1" s="1168"/>
      <c r="D1" s="1168"/>
      <c r="E1" s="1168"/>
      <c r="F1" s="1168"/>
      <c r="G1" s="1168"/>
      <c r="H1" s="1168"/>
    </row>
    <row r="2" spans="1:8" ht="21">
      <c r="A2" s="1169" t="s">
        <v>389</v>
      </c>
      <c r="B2" s="1169"/>
      <c r="C2" s="1169"/>
      <c r="D2" s="1169"/>
      <c r="E2" s="1169"/>
      <c r="F2" s="1169"/>
      <c r="G2" s="1169"/>
      <c r="H2" s="1169"/>
    </row>
    <row r="3" spans="1:8" ht="21">
      <c r="A3" s="1169" t="s">
        <v>379</v>
      </c>
      <c r="B3" s="1169"/>
      <c r="C3" s="1169"/>
      <c r="D3" s="1169"/>
      <c r="E3" s="1169"/>
      <c r="F3" s="1169"/>
      <c r="G3" s="1169"/>
      <c r="H3" s="1169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.75" customHeight="1">
      <c r="A5" s="1177" t="s">
        <v>213</v>
      </c>
      <c r="B5" s="1177"/>
      <c r="C5" s="1177"/>
      <c r="D5" s="1177"/>
      <c r="E5" s="1177"/>
      <c r="F5" s="1177"/>
      <c r="G5" s="1177"/>
      <c r="H5" s="1177"/>
    </row>
    <row r="6" spans="1:8" ht="15">
      <c r="A6" s="1166" t="s">
        <v>121</v>
      </c>
      <c r="B6" s="1101" t="s">
        <v>5</v>
      </c>
      <c r="C6" s="1101" t="s">
        <v>6</v>
      </c>
      <c r="D6" s="667" t="s">
        <v>7</v>
      </c>
      <c r="E6" s="668" t="s">
        <v>8</v>
      </c>
      <c r="F6" s="669" t="s">
        <v>9</v>
      </c>
      <c r="G6" s="669" t="s">
        <v>10</v>
      </c>
      <c r="H6" s="668" t="s">
        <v>11</v>
      </c>
    </row>
    <row r="7" spans="1:8" ht="15">
      <c r="A7" s="1167"/>
      <c r="B7" s="1102"/>
      <c r="C7" s="1102"/>
      <c r="D7" s="670" t="s">
        <v>12</v>
      </c>
      <c r="E7" s="671" t="s">
        <v>13</v>
      </c>
      <c r="F7" s="672" t="s">
        <v>214</v>
      </c>
      <c r="G7" s="672" t="s">
        <v>214</v>
      </c>
      <c r="H7" s="671" t="s">
        <v>15</v>
      </c>
    </row>
    <row r="8" spans="1:8" ht="15">
      <c r="A8" s="111">
        <v>1</v>
      </c>
      <c r="B8" s="23" t="s">
        <v>124</v>
      </c>
      <c r="C8" s="24">
        <v>110</v>
      </c>
      <c r="D8" s="42">
        <v>182.87</v>
      </c>
      <c r="E8" s="23">
        <v>1787058</v>
      </c>
      <c r="F8" s="22">
        <v>1644093360</v>
      </c>
      <c r="G8" s="22">
        <v>330882000</v>
      </c>
      <c r="H8" s="20">
        <v>3100</v>
      </c>
    </row>
    <row r="9" spans="1:8" ht="15">
      <c r="A9" s="111">
        <f aca="true" t="shared" si="0" ref="A9:A17">+A8+1</f>
        <v>2</v>
      </c>
      <c r="B9" s="23" t="s">
        <v>122</v>
      </c>
      <c r="C9" s="24">
        <v>19</v>
      </c>
      <c r="D9" s="42">
        <v>36.47</v>
      </c>
      <c r="E9" s="23">
        <v>60788</v>
      </c>
      <c r="F9" s="22">
        <v>85103200</v>
      </c>
      <c r="G9" s="22">
        <v>9861000</v>
      </c>
      <c r="H9" s="20">
        <v>125</v>
      </c>
    </row>
    <row r="10" spans="1:8" ht="15">
      <c r="A10" s="111">
        <f t="shared" si="0"/>
        <v>3</v>
      </c>
      <c r="B10" s="23" t="s">
        <v>130</v>
      </c>
      <c r="C10" s="24">
        <v>283</v>
      </c>
      <c r="D10" s="42">
        <v>283.87</v>
      </c>
      <c r="E10" s="23">
        <v>3418958</v>
      </c>
      <c r="F10" s="22">
        <v>615412440</v>
      </c>
      <c r="G10" s="22">
        <v>60026034</v>
      </c>
      <c r="H10" s="20">
        <v>6800</v>
      </c>
    </row>
    <row r="11" spans="1:8" ht="15">
      <c r="A11" s="111">
        <f t="shared" si="0"/>
        <v>4</v>
      </c>
      <c r="B11" s="23" t="s">
        <v>131</v>
      </c>
      <c r="C11" s="24">
        <v>1</v>
      </c>
      <c r="D11" s="42">
        <v>1</v>
      </c>
      <c r="E11" s="23"/>
      <c r="F11" s="22"/>
      <c r="G11" s="22">
        <v>16000</v>
      </c>
      <c r="H11" s="20">
        <v>2</v>
      </c>
    </row>
    <row r="12" spans="1:8" ht="15">
      <c r="A12" s="111">
        <f t="shared" si="0"/>
        <v>5</v>
      </c>
      <c r="B12" s="23" t="s">
        <v>132</v>
      </c>
      <c r="C12" s="24"/>
      <c r="D12" s="42"/>
      <c r="E12" s="23">
        <v>3873828</v>
      </c>
      <c r="F12" s="22">
        <v>619812480</v>
      </c>
      <c r="G12" s="22">
        <v>148078266</v>
      </c>
      <c r="H12" s="20">
        <v>9215</v>
      </c>
    </row>
    <row r="13" spans="1:8" ht="15">
      <c r="A13" s="111">
        <f t="shared" si="0"/>
        <v>6</v>
      </c>
      <c r="B13" s="23" t="s">
        <v>133</v>
      </c>
      <c r="C13" s="24">
        <v>6</v>
      </c>
      <c r="D13" s="42">
        <v>13.5</v>
      </c>
      <c r="E13" s="23">
        <v>158734</v>
      </c>
      <c r="F13" s="22">
        <v>24150560</v>
      </c>
      <c r="G13" s="22">
        <v>2939000</v>
      </c>
      <c r="H13" s="20">
        <v>5</v>
      </c>
    </row>
    <row r="14" spans="1:8" ht="15">
      <c r="A14" s="111">
        <f t="shared" si="0"/>
        <v>7</v>
      </c>
      <c r="B14" s="23" t="s">
        <v>27</v>
      </c>
      <c r="C14" s="24">
        <v>3</v>
      </c>
      <c r="D14" s="42">
        <v>3.7</v>
      </c>
      <c r="E14" s="23">
        <v>13888</v>
      </c>
      <c r="F14" s="22"/>
      <c r="G14" s="22">
        <v>1229534</v>
      </c>
      <c r="H14" s="20"/>
    </row>
    <row r="15" spans="1:8" ht="15">
      <c r="A15" s="111">
        <f t="shared" si="0"/>
        <v>8</v>
      </c>
      <c r="B15" s="23" t="s">
        <v>134</v>
      </c>
      <c r="C15" s="17"/>
      <c r="D15" s="129"/>
      <c r="E15" s="23">
        <v>382276</v>
      </c>
      <c r="F15" s="22">
        <v>401389800</v>
      </c>
      <c r="G15" s="22">
        <v>8741743</v>
      </c>
      <c r="H15" s="20">
        <v>710</v>
      </c>
    </row>
    <row r="16" spans="1:8" ht="15">
      <c r="A16" s="111">
        <f t="shared" si="0"/>
        <v>9</v>
      </c>
      <c r="B16" s="23" t="s">
        <v>128</v>
      </c>
      <c r="C16" s="17"/>
      <c r="D16" s="129"/>
      <c r="E16" s="23"/>
      <c r="F16" s="22"/>
      <c r="G16" s="22">
        <v>15683000</v>
      </c>
      <c r="H16" s="20"/>
    </row>
    <row r="17" spans="1:8" ht="15">
      <c r="A17" s="111">
        <f t="shared" si="0"/>
        <v>10</v>
      </c>
      <c r="B17" s="23" t="s">
        <v>41</v>
      </c>
      <c r="C17" s="17"/>
      <c r="D17" s="129"/>
      <c r="E17" s="31"/>
      <c r="F17" s="22"/>
      <c r="G17" s="22">
        <v>300000</v>
      </c>
      <c r="H17" s="20"/>
    </row>
    <row r="18" spans="1:8" ht="15.75">
      <c r="A18" s="729"/>
      <c r="B18" s="730" t="s">
        <v>129</v>
      </c>
      <c r="C18" s="730">
        <f aca="true" t="shared" si="1" ref="C18:H18">SUM(C8:C17)</f>
        <v>422</v>
      </c>
      <c r="D18" s="731">
        <f t="shared" si="1"/>
        <v>521.4100000000001</v>
      </c>
      <c r="E18" s="730">
        <f t="shared" si="1"/>
        <v>9695530</v>
      </c>
      <c r="F18" s="732">
        <f t="shared" si="1"/>
        <v>3389961840</v>
      </c>
      <c r="G18" s="732">
        <f t="shared" si="1"/>
        <v>577756577</v>
      </c>
      <c r="H18" s="733">
        <f t="shared" si="1"/>
        <v>19957</v>
      </c>
    </row>
    <row r="19" spans="1:8" ht="15.75">
      <c r="A19" s="118"/>
      <c r="B19" s="121"/>
      <c r="C19" s="12"/>
      <c r="D19" s="68"/>
      <c r="E19" s="123"/>
      <c r="F19" s="14"/>
      <c r="G19" s="14"/>
      <c r="H19" s="120"/>
    </row>
    <row r="20" spans="1:8" ht="15.75">
      <c r="A20" s="1176" t="s">
        <v>215</v>
      </c>
      <c r="B20" s="1176"/>
      <c r="C20" s="1176"/>
      <c r="D20" s="1176"/>
      <c r="E20" s="1176"/>
      <c r="F20" s="1176"/>
      <c r="G20" s="1176"/>
      <c r="H20" s="1176"/>
    </row>
    <row r="21" spans="1:8" ht="15">
      <c r="A21" s="1166" t="s">
        <v>121</v>
      </c>
      <c r="B21" s="1101" t="s">
        <v>5</v>
      </c>
      <c r="C21" s="1101" t="s">
        <v>6</v>
      </c>
      <c r="D21" s="667" t="s">
        <v>7</v>
      </c>
      <c r="E21" s="668" t="s">
        <v>8</v>
      </c>
      <c r="F21" s="669" t="s">
        <v>9</v>
      </c>
      <c r="G21" s="669" t="s">
        <v>10</v>
      </c>
      <c r="H21" s="668" t="s">
        <v>11</v>
      </c>
    </row>
    <row r="22" spans="1:8" ht="15">
      <c r="A22" s="1167"/>
      <c r="B22" s="1102"/>
      <c r="C22" s="1102"/>
      <c r="D22" s="670" t="s">
        <v>12</v>
      </c>
      <c r="E22" s="671" t="s">
        <v>13</v>
      </c>
      <c r="F22" s="672" t="s">
        <v>214</v>
      </c>
      <c r="G22" s="672" t="s">
        <v>214</v>
      </c>
      <c r="H22" s="671" t="s">
        <v>15</v>
      </c>
    </row>
    <row r="23" spans="1:8" ht="16.5" customHeight="1">
      <c r="A23" s="403">
        <v>1</v>
      </c>
      <c r="B23" s="310" t="s">
        <v>135</v>
      </c>
      <c r="C23" s="310"/>
      <c r="D23" s="310"/>
      <c r="E23" s="339">
        <v>2005000</v>
      </c>
      <c r="F23" s="313">
        <v>1280500000</v>
      </c>
      <c r="G23" s="313">
        <v>33734595</v>
      </c>
      <c r="H23" s="313">
        <v>11000</v>
      </c>
    </row>
    <row r="24" spans="1:8" ht="15">
      <c r="A24" s="403">
        <v>2</v>
      </c>
      <c r="B24" s="310" t="s">
        <v>136</v>
      </c>
      <c r="C24" s="346">
        <v>2</v>
      </c>
      <c r="D24" s="310">
        <v>2</v>
      </c>
      <c r="E24" s="310">
        <v>649</v>
      </c>
      <c r="F24" s="313">
        <v>195000</v>
      </c>
      <c r="G24" s="313">
        <v>76327</v>
      </c>
      <c r="H24" s="366">
        <v>3</v>
      </c>
    </row>
    <row r="25" spans="1:8" ht="15" customHeight="1">
      <c r="A25" s="403">
        <v>3</v>
      </c>
      <c r="B25" s="310" t="s">
        <v>122</v>
      </c>
      <c r="C25" s="346">
        <v>1</v>
      </c>
      <c r="D25" s="310">
        <v>4</v>
      </c>
      <c r="E25" s="310"/>
      <c r="F25" s="313"/>
      <c r="G25" s="313">
        <v>56000</v>
      </c>
      <c r="H25" s="366"/>
    </row>
    <row r="26" spans="1:8" ht="15">
      <c r="A26" s="403">
        <v>4</v>
      </c>
      <c r="B26" s="310" t="s">
        <v>123</v>
      </c>
      <c r="C26" s="346"/>
      <c r="D26" s="310"/>
      <c r="E26" s="409">
        <v>1075000</v>
      </c>
      <c r="F26" s="313">
        <v>430000000</v>
      </c>
      <c r="G26" s="313">
        <v>13473913</v>
      </c>
      <c r="H26" s="366">
        <v>600</v>
      </c>
    </row>
    <row r="27" spans="1:8" ht="15">
      <c r="A27" s="403">
        <v>5</v>
      </c>
      <c r="B27" s="310" t="s">
        <v>137</v>
      </c>
      <c r="C27" s="346"/>
      <c r="D27" s="310"/>
      <c r="E27" s="310"/>
      <c r="F27" s="313"/>
      <c r="G27" s="313">
        <v>5021</v>
      </c>
      <c r="H27" s="366"/>
    </row>
    <row r="28" spans="1:8" ht="15">
      <c r="A28" s="403">
        <v>6</v>
      </c>
      <c r="B28" s="310" t="s">
        <v>124</v>
      </c>
      <c r="C28" s="346">
        <v>96</v>
      </c>
      <c r="D28" s="310">
        <v>152.1174</v>
      </c>
      <c r="E28" s="310">
        <v>1531838</v>
      </c>
      <c r="F28" s="313">
        <v>752920000</v>
      </c>
      <c r="G28" s="313">
        <v>110892163</v>
      </c>
      <c r="H28" s="366">
        <v>812</v>
      </c>
    </row>
    <row r="29" spans="1:8" ht="15">
      <c r="A29" s="403">
        <v>7</v>
      </c>
      <c r="B29" s="310" t="s">
        <v>125</v>
      </c>
      <c r="C29" s="310">
        <v>190</v>
      </c>
      <c r="D29" s="310">
        <v>191.9832</v>
      </c>
      <c r="E29" s="503">
        <v>506088</v>
      </c>
      <c r="F29" s="574">
        <v>227094560</v>
      </c>
      <c r="G29" s="313">
        <v>96301264</v>
      </c>
      <c r="H29" s="313">
        <v>575</v>
      </c>
    </row>
    <row r="30" spans="1:8" ht="15">
      <c r="A30" s="403">
        <v>8</v>
      </c>
      <c r="B30" s="310" t="s">
        <v>133</v>
      </c>
      <c r="C30" s="346">
        <v>1</v>
      </c>
      <c r="D30" s="310">
        <v>4.9275</v>
      </c>
      <c r="E30" s="310">
        <v>311</v>
      </c>
      <c r="F30" s="313">
        <v>185000</v>
      </c>
      <c r="G30" s="313">
        <v>69152</v>
      </c>
      <c r="H30" s="366">
        <v>2</v>
      </c>
    </row>
    <row r="31" spans="1:8" ht="15">
      <c r="A31" s="403">
        <v>9</v>
      </c>
      <c r="B31" s="310" t="s">
        <v>127</v>
      </c>
      <c r="C31" s="310">
        <v>13</v>
      </c>
      <c r="D31" s="310">
        <v>32.09</v>
      </c>
      <c r="E31" s="339">
        <v>18670</v>
      </c>
      <c r="F31" s="313">
        <v>3734000</v>
      </c>
      <c r="G31" s="313">
        <v>1587000</v>
      </c>
      <c r="H31" s="313">
        <v>100</v>
      </c>
    </row>
    <row r="32" spans="1:8" ht="15">
      <c r="A32" s="403">
        <v>10</v>
      </c>
      <c r="B32" s="310" t="s">
        <v>128</v>
      </c>
      <c r="C32" s="310"/>
      <c r="D32" s="310"/>
      <c r="E32" s="339"/>
      <c r="F32" s="313"/>
      <c r="G32" s="313">
        <v>23699743</v>
      </c>
      <c r="H32" s="313"/>
    </row>
    <row r="33" spans="1:8" ht="15">
      <c r="A33" s="403">
        <v>11</v>
      </c>
      <c r="B33" s="310" t="s">
        <v>41</v>
      </c>
      <c r="C33" s="368"/>
      <c r="D33" s="592"/>
      <c r="E33" s="409"/>
      <c r="F33" s="313"/>
      <c r="G33" s="313">
        <v>34018717</v>
      </c>
      <c r="H33" s="366"/>
    </row>
    <row r="34" spans="1:8" ht="15.75">
      <c r="A34" s="711"/>
      <c r="B34" s="712" t="s">
        <v>129</v>
      </c>
      <c r="C34" s="727">
        <f aca="true" t="shared" si="2" ref="C34:H34">SUM(C23:C33)</f>
        <v>303</v>
      </c>
      <c r="D34" s="728">
        <f t="shared" si="2"/>
        <v>387.1181</v>
      </c>
      <c r="E34" s="620">
        <f t="shared" si="2"/>
        <v>5137556</v>
      </c>
      <c r="F34" s="709">
        <f t="shared" si="2"/>
        <v>2694628560</v>
      </c>
      <c r="G34" s="709">
        <f t="shared" si="2"/>
        <v>313913895</v>
      </c>
      <c r="H34" s="710">
        <f t="shared" si="2"/>
        <v>13092</v>
      </c>
    </row>
    <row r="35" spans="1:8" ht="15">
      <c r="A35" s="7"/>
      <c r="B35" s="7"/>
      <c r="C35" s="7"/>
      <c r="D35" s="7"/>
      <c r="E35" s="7"/>
      <c r="F35" s="7"/>
      <c r="G35" s="7"/>
      <c r="H35" s="7"/>
    </row>
    <row r="36" spans="1:8" ht="15.75">
      <c r="A36" s="1172" t="s">
        <v>216</v>
      </c>
      <c r="B36" s="1172"/>
      <c r="C36" s="1172"/>
      <c r="D36" s="1172"/>
      <c r="E36" s="1172"/>
      <c r="F36" s="1172"/>
      <c r="G36" s="1172"/>
      <c r="H36" s="1172"/>
    </row>
    <row r="37" spans="1:8" ht="15">
      <c r="A37" s="1166" t="s">
        <v>121</v>
      </c>
      <c r="B37" s="1101" t="s">
        <v>5</v>
      </c>
      <c r="C37" s="1101" t="s">
        <v>6</v>
      </c>
      <c r="D37" s="667" t="s">
        <v>7</v>
      </c>
      <c r="E37" s="668" t="s">
        <v>8</v>
      </c>
      <c r="F37" s="669" t="s">
        <v>9</v>
      </c>
      <c r="G37" s="669" t="s">
        <v>10</v>
      </c>
      <c r="H37" s="668" t="s">
        <v>11</v>
      </c>
    </row>
    <row r="38" spans="1:8" ht="15">
      <c r="A38" s="1167"/>
      <c r="B38" s="1102"/>
      <c r="C38" s="1102"/>
      <c r="D38" s="670" t="s">
        <v>12</v>
      </c>
      <c r="E38" s="671" t="s">
        <v>13</v>
      </c>
      <c r="F38" s="672" t="s">
        <v>214</v>
      </c>
      <c r="G38" s="672" t="s">
        <v>214</v>
      </c>
      <c r="H38" s="671" t="s">
        <v>15</v>
      </c>
    </row>
    <row r="39" spans="1:8" ht="15">
      <c r="A39" s="111">
        <v>1</v>
      </c>
      <c r="B39" s="23" t="s">
        <v>124</v>
      </c>
      <c r="C39" s="23">
        <v>95</v>
      </c>
      <c r="D39" s="23">
        <v>138</v>
      </c>
      <c r="E39" s="43">
        <v>977987</v>
      </c>
      <c r="F39" s="23">
        <v>107568700</v>
      </c>
      <c r="G39" s="22">
        <v>189799000</v>
      </c>
      <c r="H39" s="22">
        <v>1000</v>
      </c>
    </row>
    <row r="40" spans="1:8" ht="15">
      <c r="A40" s="111">
        <f>+A39+1</f>
        <v>2</v>
      </c>
      <c r="B40" s="23" t="s">
        <v>137</v>
      </c>
      <c r="C40" s="23">
        <v>6</v>
      </c>
      <c r="D40" s="23">
        <v>6</v>
      </c>
      <c r="E40" s="43">
        <v>7323</v>
      </c>
      <c r="F40" s="23">
        <v>329535</v>
      </c>
      <c r="G40" s="22">
        <v>476000</v>
      </c>
      <c r="H40" s="22">
        <v>45</v>
      </c>
    </row>
    <row r="41" spans="1:8" ht="15">
      <c r="A41" s="111">
        <f>+A40+1</f>
        <v>3</v>
      </c>
      <c r="B41" s="23" t="s">
        <v>125</v>
      </c>
      <c r="C41" s="23">
        <v>25</v>
      </c>
      <c r="D41" s="23">
        <v>25</v>
      </c>
      <c r="E41" s="43">
        <v>389235.28</v>
      </c>
      <c r="F41" s="23">
        <v>19461750</v>
      </c>
      <c r="G41" s="22">
        <v>6617000</v>
      </c>
      <c r="H41" s="22">
        <v>45</v>
      </c>
    </row>
    <row r="42" spans="1:8" ht="15">
      <c r="A42" s="111">
        <f>+A41+1</f>
        <v>4</v>
      </c>
      <c r="B42" s="23" t="s">
        <v>123</v>
      </c>
      <c r="C42" s="23"/>
      <c r="D42" s="23"/>
      <c r="E42" s="43">
        <v>90250</v>
      </c>
      <c r="F42" s="23">
        <v>20306250</v>
      </c>
      <c r="G42" s="22">
        <v>1805000</v>
      </c>
      <c r="H42" s="22">
        <v>90</v>
      </c>
    </row>
    <row r="43" spans="1:8" ht="15">
      <c r="A43" s="111">
        <v>5</v>
      </c>
      <c r="B43" s="23" t="s">
        <v>135</v>
      </c>
      <c r="C43" s="23"/>
      <c r="D43" s="23"/>
      <c r="E43" s="43">
        <v>29333</v>
      </c>
      <c r="F43" s="23">
        <v>1466650</v>
      </c>
      <c r="G43" s="22">
        <v>528000</v>
      </c>
      <c r="H43" s="22"/>
    </row>
    <row r="44" spans="1:8" ht="15">
      <c r="A44" s="111">
        <f>+A43+1</f>
        <v>6</v>
      </c>
      <c r="B44" s="23" t="s">
        <v>128</v>
      </c>
      <c r="C44" s="23"/>
      <c r="D44" s="42"/>
      <c r="E44" s="43"/>
      <c r="F44" s="23"/>
      <c r="G44" s="22">
        <v>7733000</v>
      </c>
      <c r="H44" s="22"/>
    </row>
    <row r="45" spans="1:8" ht="15">
      <c r="A45" s="111">
        <v>7</v>
      </c>
      <c r="B45" s="23" t="s">
        <v>41</v>
      </c>
      <c r="C45" s="23"/>
      <c r="D45" s="42"/>
      <c r="E45" s="43"/>
      <c r="F45" s="23"/>
      <c r="G45" s="22">
        <v>31545000</v>
      </c>
      <c r="H45" s="22"/>
    </row>
    <row r="46" spans="1:8" ht="15.75">
      <c r="A46" s="726"/>
      <c r="B46" s="717" t="s">
        <v>129</v>
      </c>
      <c r="C46" s="620">
        <f aca="true" t="shared" si="3" ref="C46:H46">SUM(C39:C45)</f>
        <v>126</v>
      </c>
      <c r="D46" s="697">
        <f t="shared" si="3"/>
        <v>169</v>
      </c>
      <c r="E46" s="620">
        <f t="shared" si="3"/>
        <v>1494128.28</v>
      </c>
      <c r="F46" s="709">
        <f t="shared" si="3"/>
        <v>149132885</v>
      </c>
      <c r="G46" s="709">
        <f t="shared" si="3"/>
        <v>238503000</v>
      </c>
      <c r="H46" s="710">
        <f t="shared" si="3"/>
        <v>1180</v>
      </c>
    </row>
    <row r="47" spans="1:8" ht="15.75">
      <c r="A47" s="152"/>
      <c r="B47" s="153"/>
      <c r="C47" s="154"/>
      <c r="D47" s="155"/>
      <c r="E47" s="155"/>
      <c r="F47" s="156"/>
      <c r="G47" s="156"/>
      <c r="H47" s="157"/>
    </row>
    <row r="48" spans="1:8" ht="15.75">
      <c r="A48" s="1172" t="s">
        <v>217</v>
      </c>
      <c r="B48" s="1172"/>
      <c r="C48" s="1172"/>
      <c r="D48" s="1172"/>
      <c r="E48" s="1172"/>
      <c r="F48" s="1172"/>
      <c r="G48" s="1172"/>
      <c r="H48" s="1172"/>
    </row>
    <row r="49" spans="1:8" ht="15">
      <c r="A49" s="1166" t="s">
        <v>121</v>
      </c>
      <c r="B49" s="1101" t="s">
        <v>5</v>
      </c>
      <c r="C49" s="1101" t="s">
        <v>6</v>
      </c>
      <c r="D49" s="667" t="s">
        <v>7</v>
      </c>
      <c r="E49" s="668" t="s">
        <v>8</v>
      </c>
      <c r="F49" s="669" t="s">
        <v>9</v>
      </c>
      <c r="G49" s="669" t="s">
        <v>10</v>
      </c>
      <c r="H49" s="668" t="s">
        <v>11</v>
      </c>
    </row>
    <row r="50" spans="1:8" ht="15">
      <c r="A50" s="1167"/>
      <c r="B50" s="1102"/>
      <c r="C50" s="1102"/>
      <c r="D50" s="670" t="s">
        <v>12</v>
      </c>
      <c r="E50" s="671" t="s">
        <v>13</v>
      </c>
      <c r="F50" s="672" t="s">
        <v>214</v>
      </c>
      <c r="G50" s="672" t="s">
        <v>214</v>
      </c>
      <c r="H50" s="671" t="s">
        <v>15</v>
      </c>
    </row>
    <row r="51" spans="1:8" ht="15">
      <c r="A51" s="167">
        <v>1</v>
      </c>
      <c r="B51" s="23" t="s">
        <v>122</v>
      </c>
      <c r="C51" s="23">
        <v>73</v>
      </c>
      <c r="D51" s="23">
        <v>186.13</v>
      </c>
      <c r="E51" s="43">
        <v>173518</v>
      </c>
      <c r="F51" s="23">
        <v>19904300</v>
      </c>
      <c r="G51" s="22">
        <v>8132363</v>
      </c>
      <c r="H51" s="22">
        <v>415</v>
      </c>
    </row>
    <row r="52" spans="1:8" ht="15">
      <c r="A52" s="167">
        <v>2</v>
      </c>
      <c r="B52" s="23" t="s">
        <v>141</v>
      </c>
      <c r="C52" s="23">
        <v>28</v>
      </c>
      <c r="D52" s="23">
        <v>115.66</v>
      </c>
      <c r="E52" s="341">
        <v>170366</v>
      </c>
      <c r="F52" s="380">
        <v>170900840</v>
      </c>
      <c r="G52" s="22">
        <v>15603000</v>
      </c>
      <c r="H52" s="22">
        <v>410</v>
      </c>
    </row>
    <row r="53" spans="1:8" ht="15.75">
      <c r="A53" s="167">
        <v>3</v>
      </c>
      <c r="B53" s="23" t="s">
        <v>140</v>
      </c>
      <c r="C53" s="23">
        <v>3</v>
      </c>
      <c r="D53" s="23">
        <v>7.2</v>
      </c>
      <c r="E53" s="388"/>
      <c r="F53" s="380"/>
      <c r="G53" s="22">
        <v>415000</v>
      </c>
      <c r="H53" s="22">
        <v>260</v>
      </c>
    </row>
    <row r="54" spans="1:8" ht="15">
      <c r="A54" s="167">
        <v>4</v>
      </c>
      <c r="B54" s="23" t="s">
        <v>143</v>
      </c>
      <c r="C54" s="23">
        <v>293</v>
      </c>
      <c r="D54" s="23">
        <v>292.1</v>
      </c>
      <c r="E54" s="293">
        <v>1157771</v>
      </c>
      <c r="F54" s="380">
        <v>208398780</v>
      </c>
      <c r="G54" s="22">
        <v>49645137</v>
      </c>
      <c r="H54" s="22">
        <v>1740</v>
      </c>
    </row>
    <row r="55" spans="1:8" ht="15">
      <c r="A55" s="167">
        <v>5</v>
      </c>
      <c r="B55" s="23" t="s">
        <v>142</v>
      </c>
      <c r="C55" s="23">
        <v>18</v>
      </c>
      <c r="D55" s="23">
        <v>44.28</v>
      </c>
      <c r="E55" s="341">
        <v>24702</v>
      </c>
      <c r="F55" s="380">
        <v>44463600</v>
      </c>
      <c r="G55" s="22">
        <v>563000</v>
      </c>
      <c r="H55" s="22">
        <v>1840</v>
      </c>
    </row>
    <row r="56" spans="1:8" ht="15">
      <c r="A56" s="167">
        <v>6</v>
      </c>
      <c r="B56" s="23" t="s">
        <v>123</v>
      </c>
      <c r="C56" s="23">
        <v>4</v>
      </c>
      <c r="D56" s="23"/>
      <c r="E56" s="341">
        <v>4192491</v>
      </c>
      <c r="F56" s="292">
        <v>670798560</v>
      </c>
      <c r="G56" s="22">
        <v>81533449</v>
      </c>
      <c r="H56" s="22">
        <v>215</v>
      </c>
    </row>
    <row r="57" spans="1:8" ht="15">
      <c r="A57" s="167">
        <v>7</v>
      </c>
      <c r="B57" s="23" t="s">
        <v>144</v>
      </c>
      <c r="C57" s="23"/>
      <c r="D57" s="23"/>
      <c r="E57" s="556">
        <v>840340</v>
      </c>
      <c r="F57" s="557">
        <v>134454400</v>
      </c>
      <c r="G57" s="22">
        <v>4201699</v>
      </c>
      <c r="H57" s="22">
        <v>2010</v>
      </c>
    </row>
    <row r="58" spans="1:8" ht="15">
      <c r="A58" s="167">
        <v>8</v>
      </c>
      <c r="B58" s="23" t="s">
        <v>145</v>
      </c>
      <c r="C58" s="23"/>
      <c r="D58" s="23"/>
      <c r="E58" s="341">
        <v>2083765</v>
      </c>
      <c r="F58" s="380">
        <v>125025900</v>
      </c>
      <c r="G58" s="22">
        <v>7756983</v>
      </c>
      <c r="H58" s="22">
        <v>100</v>
      </c>
    </row>
    <row r="59" spans="1:8" ht="15">
      <c r="A59" s="167">
        <v>9</v>
      </c>
      <c r="B59" s="23" t="s">
        <v>135</v>
      </c>
      <c r="C59" s="23"/>
      <c r="D59" s="23"/>
      <c r="E59" s="341"/>
      <c r="F59" s="380"/>
      <c r="G59" s="22">
        <v>54000</v>
      </c>
      <c r="H59" s="22"/>
    </row>
    <row r="60" spans="1:8" ht="15">
      <c r="A60" s="167">
        <v>10</v>
      </c>
      <c r="B60" s="23" t="s">
        <v>128</v>
      </c>
      <c r="C60" s="23"/>
      <c r="D60" s="42"/>
      <c r="E60" s="341"/>
      <c r="F60" s="380"/>
      <c r="G60" s="22">
        <v>17922000</v>
      </c>
      <c r="H60" s="22"/>
    </row>
    <row r="61" spans="1:8" ht="15">
      <c r="A61" s="167">
        <v>11</v>
      </c>
      <c r="B61" s="23" t="s">
        <v>41</v>
      </c>
      <c r="C61" s="23"/>
      <c r="D61" s="42"/>
      <c r="E61" s="42"/>
      <c r="F61" s="23"/>
      <c r="G61" s="22">
        <v>156154363</v>
      </c>
      <c r="H61" s="22"/>
    </row>
    <row r="62" spans="1:8" ht="15.75">
      <c r="A62" s="689"/>
      <c r="B62" s="696" t="s">
        <v>129</v>
      </c>
      <c r="C62" s="620">
        <f aca="true" t="shared" si="4" ref="C62:H62">SUM(C51:C61)</f>
        <v>419</v>
      </c>
      <c r="D62" s="697">
        <f t="shared" si="4"/>
        <v>645.3699999999999</v>
      </c>
      <c r="E62" s="620">
        <f t="shared" si="4"/>
        <v>8642953</v>
      </c>
      <c r="F62" s="709">
        <f t="shared" si="4"/>
        <v>1373946380</v>
      </c>
      <c r="G62" s="709">
        <f t="shared" si="4"/>
        <v>341980994</v>
      </c>
      <c r="H62" s="710">
        <f t="shared" si="4"/>
        <v>6990</v>
      </c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.75">
      <c r="A64" s="1172" t="s">
        <v>218</v>
      </c>
      <c r="B64" s="1172"/>
      <c r="C64" s="1172"/>
      <c r="D64" s="1172"/>
      <c r="E64" s="1172"/>
      <c r="F64" s="1172"/>
      <c r="G64" s="1172"/>
      <c r="H64" s="1172"/>
    </row>
    <row r="65" spans="1:8" ht="15">
      <c r="A65" s="1166" t="s">
        <v>121</v>
      </c>
      <c r="B65" s="1101" t="s">
        <v>5</v>
      </c>
      <c r="C65" s="1101" t="s">
        <v>6</v>
      </c>
      <c r="D65" s="667" t="s">
        <v>7</v>
      </c>
      <c r="E65" s="668" t="s">
        <v>8</v>
      </c>
      <c r="F65" s="669" t="s">
        <v>9</v>
      </c>
      <c r="G65" s="669" t="s">
        <v>10</v>
      </c>
      <c r="H65" s="668" t="s">
        <v>11</v>
      </c>
    </row>
    <row r="66" spans="1:8" ht="15">
      <c r="A66" s="1167"/>
      <c r="B66" s="1102"/>
      <c r="C66" s="1102"/>
      <c r="D66" s="670" t="s">
        <v>12</v>
      </c>
      <c r="E66" s="671" t="s">
        <v>13</v>
      </c>
      <c r="F66" s="672" t="s">
        <v>214</v>
      </c>
      <c r="G66" s="672" t="s">
        <v>214</v>
      </c>
      <c r="H66" s="671" t="s">
        <v>15</v>
      </c>
    </row>
    <row r="67" spans="1:8" ht="15">
      <c r="A67" s="403">
        <v>1</v>
      </c>
      <c r="B67" s="310" t="s">
        <v>123</v>
      </c>
      <c r="C67" s="566"/>
      <c r="D67" s="567"/>
      <c r="E67" s="597">
        <v>425912</v>
      </c>
      <c r="F67" s="598">
        <v>94908200</v>
      </c>
      <c r="G67" s="599">
        <v>12457779</v>
      </c>
      <c r="H67" s="600">
        <v>200</v>
      </c>
    </row>
    <row r="68" spans="1:8" ht="15">
      <c r="A68" s="403">
        <v>2</v>
      </c>
      <c r="B68" s="310" t="s">
        <v>125</v>
      </c>
      <c r="C68" s="598">
        <v>35</v>
      </c>
      <c r="D68" s="601">
        <v>35.08</v>
      </c>
      <c r="E68" s="597">
        <v>1877837</v>
      </c>
      <c r="F68" s="598">
        <v>358959769</v>
      </c>
      <c r="G68" s="599">
        <v>26106131</v>
      </c>
      <c r="H68" s="600">
        <v>1054</v>
      </c>
    </row>
    <row r="69" spans="1:8" ht="15">
      <c r="A69" s="403">
        <v>3</v>
      </c>
      <c r="B69" s="310" t="s">
        <v>145</v>
      </c>
      <c r="C69" s="310"/>
      <c r="D69" s="410"/>
      <c r="E69" s="313">
        <v>142072</v>
      </c>
      <c r="F69" s="313">
        <v>4262160</v>
      </c>
      <c r="G69" s="313">
        <v>232081</v>
      </c>
      <c r="H69" s="313"/>
    </row>
    <row r="70" spans="1:8" ht="15">
      <c r="A70" s="403">
        <v>4</v>
      </c>
      <c r="B70" s="310" t="s">
        <v>355</v>
      </c>
      <c r="C70" s="598"/>
      <c r="D70" s="601"/>
      <c r="E70" s="597">
        <v>572185</v>
      </c>
      <c r="F70" s="553">
        <v>25364875</v>
      </c>
      <c r="G70" s="599">
        <v>4458645</v>
      </c>
      <c r="H70" s="600">
        <v>160</v>
      </c>
    </row>
    <row r="71" spans="1:8" ht="15">
      <c r="A71" s="403">
        <v>5</v>
      </c>
      <c r="B71" s="310" t="s">
        <v>140</v>
      </c>
      <c r="C71" s="566">
        <v>2</v>
      </c>
      <c r="D71" s="567">
        <v>2</v>
      </c>
      <c r="E71" s="597">
        <v>4710</v>
      </c>
      <c r="F71" s="598">
        <v>4710000</v>
      </c>
      <c r="G71" s="599">
        <v>381440</v>
      </c>
      <c r="H71" s="600">
        <v>3</v>
      </c>
    </row>
    <row r="72" spans="1:8" ht="15">
      <c r="A72" s="403">
        <v>6</v>
      </c>
      <c r="B72" s="310" t="s">
        <v>128</v>
      </c>
      <c r="C72" s="310"/>
      <c r="D72" s="410"/>
      <c r="E72" s="505"/>
      <c r="F72" s="310"/>
      <c r="G72" s="313">
        <v>1234068</v>
      </c>
      <c r="H72" s="313"/>
    </row>
    <row r="73" spans="1:8" ht="15.75">
      <c r="A73" s="403">
        <v>7</v>
      </c>
      <c r="B73" s="367" t="s">
        <v>41</v>
      </c>
      <c r="C73" s="598"/>
      <c r="D73" s="601"/>
      <c r="E73" s="597"/>
      <c r="F73" s="598"/>
      <c r="G73" s="599">
        <v>1674133</v>
      </c>
      <c r="H73" s="600"/>
    </row>
    <row r="74" spans="1:8" ht="15.75">
      <c r="A74" s="724"/>
      <c r="B74" s="696" t="s">
        <v>129</v>
      </c>
      <c r="C74" s="725">
        <f aca="true" t="shared" si="5" ref="C74:H74">SUM(C67:C73)</f>
        <v>37</v>
      </c>
      <c r="D74" s="725">
        <f t="shared" si="5"/>
        <v>37.08</v>
      </c>
      <c r="E74" s="725">
        <f t="shared" si="5"/>
        <v>3022716</v>
      </c>
      <c r="F74" s="725">
        <f t="shared" si="5"/>
        <v>488205004</v>
      </c>
      <c r="G74" s="725">
        <f t="shared" si="5"/>
        <v>46544277</v>
      </c>
      <c r="H74" s="725">
        <f t="shared" si="5"/>
        <v>1417</v>
      </c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.75">
      <c r="A76" s="1172" t="s">
        <v>219</v>
      </c>
      <c r="B76" s="1172"/>
      <c r="C76" s="1172"/>
      <c r="D76" s="1172"/>
      <c r="E76" s="1172"/>
      <c r="F76" s="1172"/>
      <c r="G76" s="1172"/>
      <c r="H76" s="1172"/>
    </row>
    <row r="77" spans="1:8" ht="15">
      <c r="A77" s="1166" t="s">
        <v>121</v>
      </c>
      <c r="B77" s="1101" t="s">
        <v>5</v>
      </c>
      <c r="C77" s="1101" t="s">
        <v>6</v>
      </c>
      <c r="D77" s="667" t="s">
        <v>7</v>
      </c>
      <c r="E77" s="668" t="s">
        <v>8</v>
      </c>
      <c r="F77" s="669" t="s">
        <v>9</v>
      </c>
      <c r="G77" s="669" t="s">
        <v>10</v>
      </c>
      <c r="H77" s="668" t="s">
        <v>11</v>
      </c>
    </row>
    <row r="78" spans="1:8" ht="15">
      <c r="A78" s="1167"/>
      <c r="B78" s="1102"/>
      <c r="C78" s="1102"/>
      <c r="D78" s="670" t="s">
        <v>12</v>
      </c>
      <c r="E78" s="671" t="s">
        <v>13</v>
      </c>
      <c r="F78" s="672" t="s">
        <v>214</v>
      </c>
      <c r="G78" s="672" t="s">
        <v>214</v>
      </c>
      <c r="H78" s="671" t="s">
        <v>15</v>
      </c>
    </row>
    <row r="79" spans="1:8" ht="15">
      <c r="A79" s="167">
        <v>1</v>
      </c>
      <c r="B79" s="23" t="s">
        <v>140</v>
      </c>
      <c r="C79" s="51">
        <v>39</v>
      </c>
      <c r="D79" s="55">
        <v>1703.03</v>
      </c>
      <c r="E79" s="74">
        <v>42161.43</v>
      </c>
      <c r="F79" s="292">
        <v>6324215</v>
      </c>
      <c r="G79" s="22">
        <v>4848565</v>
      </c>
      <c r="H79" s="22">
        <v>320</v>
      </c>
    </row>
    <row r="80" spans="1:8" ht="15">
      <c r="A80" s="167">
        <v>2</v>
      </c>
      <c r="B80" s="23" t="s">
        <v>149</v>
      </c>
      <c r="C80" s="51">
        <v>1</v>
      </c>
      <c r="D80" s="51">
        <v>2</v>
      </c>
      <c r="E80" s="74">
        <v>494.08</v>
      </c>
      <c r="F80" s="292">
        <v>69172</v>
      </c>
      <c r="G80" s="22">
        <v>56820</v>
      </c>
      <c r="H80" s="22">
        <v>30</v>
      </c>
    </row>
    <row r="81" spans="1:8" ht="15">
      <c r="A81" s="167">
        <v>3</v>
      </c>
      <c r="B81" s="23" t="s">
        <v>136</v>
      </c>
      <c r="C81" s="51">
        <v>1</v>
      </c>
      <c r="D81" s="51">
        <v>0.71</v>
      </c>
      <c r="E81" s="74">
        <v>618</v>
      </c>
      <c r="F81" s="292">
        <v>83430</v>
      </c>
      <c r="G81" s="22">
        <v>37100</v>
      </c>
      <c r="H81" s="22">
        <v>21</v>
      </c>
    </row>
    <row r="82" spans="1:8" ht="15">
      <c r="A82" s="167">
        <v>4</v>
      </c>
      <c r="B82" s="23" t="s">
        <v>125</v>
      </c>
      <c r="C82" s="51">
        <v>699</v>
      </c>
      <c r="D82" s="55">
        <v>710.38</v>
      </c>
      <c r="E82" s="74">
        <v>16498282</v>
      </c>
      <c r="F82" s="292">
        <v>2062285250</v>
      </c>
      <c r="G82" s="22">
        <v>362961196</v>
      </c>
      <c r="H82" s="22">
        <v>6707</v>
      </c>
    </row>
    <row r="83" spans="1:8" ht="15">
      <c r="A83" s="167">
        <v>5</v>
      </c>
      <c r="B83" s="23" t="s">
        <v>135</v>
      </c>
      <c r="C83" s="23"/>
      <c r="D83" s="42"/>
      <c r="E83" s="74">
        <v>1489702.5</v>
      </c>
      <c r="F83" s="292">
        <v>26814645</v>
      </c>
      <c r="G83" s="22">
        <v>26814645</v>
      </c>
      <c r="H83" s="22">
        <v>1000</v>
      </c>
    </row>
    <row r="84" spans="1:8" ht="15">
      <c r="A84" s="167">
        <v>6</v>
      </c>
      <c r="B84" s="23" t="s">
        <v>123</v>
      </c>
      <c r="C84" s="23"/>
      <c r="D84" s="42"/>
      <c r="E84" s="74">
        <v>18921</v>
      </c>
      <c r="F84" s="292">
        <v>473025</v>
      </c>
      <c r="G84" s="22">
        <v>473025</v>
      </c>
      <c r="H84" s="22">
        <v>100</v>
      </c>
    </row>
    <row r="85" spans="1:8" ht="15">
      <c r="A85" s="167">
        <v>7</v>
      </c>
      <c r="B85" s="23" t="s">
        <v>128</v>
      </c>
      <c r="C85" s="23"/>
      <c r="D85" s="42"/>
      <c r="E85" s="74"/>
      <c r="F85" s="292"/>
      <c r="G85" s="22">
        <v>17394266</v>
      </c>
      <c r="H85" s="22"/>
    </row>
    <row r="86" spans="1:8" ht="15">
      <c r="A86" s="167">
        <v>8</v>
      </c>
      <c r="B86" s="23" t="s">
        <v>41</v>
      </c>
      <c r="C86" s="23"/>
      <c r="D86" s="42"/>
      <c r="E86" s="43"/>
      <c r="F86" s="292"/>
      <c r="G86" s="22">
        <v>35236677</v>
      </c>
      <c r="H86" s="22"/>
    </row>
    <row r="87" spans="1:8" ht="15.75">
      <c r="A87" s="698"/>
      <c r="B87" s="696" t="s">
        <v>129</v>
      </c>
      <c r="C87" s="620">
        <f aca="true" t="shared" si="6" ref="C87:H87">SUM(C79:C86)</f>
        <v>740</v>
      </c>
      <c r="D87" s="697">
        <f t="shared" si="6"/>
        <v>2416.12</v>
      </c>
      <c r="E87" s="620">
        <f t="shared" si="6"/>
        <v>18050179.009999998</v>
      </c>
      <c r="F87" s="709">
        <f t="shared" si="6"/>
        <v>2096049737</v>
      </c>
      <c r="G87" s="709">
        <f t="shared" si="6"/>
        <v>447822294</v>
      </c>
      <c r="H87" s="723">
        <f t="shared" si="6"/>
        <v>8178</v>
      </c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.75">
      <c r="A89" s="1172" t="s">
        <v>220</v>
      </c>
      <c r="B89" s="1172"/>
      <c r="C89" s="1172"/>
      <c r="D89" s="1172"/>
      <c r="E89" s="1172"/>
      <c r="F89" s="1172"/>
      <c r="G89" s="1172"/>
      <c r="H89" s="1172"/>
    </row>
    <row r="90" spans="1:8" ht="15">
      <c r="A90" s="1166" t="s">
        <v>121</v>
      </c>
      <c r="B90" s="1101" t="s">
        <v>5</v>
      </c>
      <c r="C90" s="1101" t="s">
        <v>6</v>
      </c>
      <c r="D90" s="667" t="s">
        <v>7</v>
      </c>
      <c r="E90" s="668" t="s">
        <v>8</v>
      </c>
      <c r="F90" s="669" t="s">
        <v>9</v>
      </c>
      <c r="G90" s="669" t="s">
        <v>10</v>
      </c>
      <c r="H90" s="668" t="s">
        <v>11</v>
      </c>
    </row>
    <row r="91" spans="1:8" ht="15">
      <c r="A91" s="1167"/>
      <c r="B91" s="1102"/>
      <c r="C91" s="1102"/>
      <c r="D91" s="670" t="s">
        <v>12</v>
      </c>
      <c r="E91" s="671" t="s">
        <v>13</v>
      </c>
      <c r="F91" s="672" t="s">
        <v>214</v>
      </c>
      <c r="G91" s="672" t="s">
        <v>214</v>
      </c>
      <c r="H91" s="671" t="s">
        <v>15</v>
      </c>
    </row>
    <row r="92" spans="1:8" ht="15">
      <c r="A92" s="111">
        <v>1</v>
      </c>
      <c r="B92" s="23" t="s">
        <v>135</v>
      </c>
      <c r="C92" s="23"/>
      <c r="D92" s="42"/>
      <c r="E92" s="43">
        <v>1294874</v>
      </c>
      <c r="F92" s="23">
        <v>258974800</v>
      </c>
      <c r="G92" s="22">
        <v>6473118</v>
      </c>
      <c r="H92" s="22">
        <v>1210</v>
      </c>
    </row>
    <row r="93" spans="1:8" ht="15">
      <c r="A93" s="111">
        <v>2</v>
      </c>
      <c r="B93" s="23" t="s">
        <v>152</v>
      </c>
      <c r="C93" s="23">
        <v>1</v>
      </c>
      <c r="D93" s="42">
        <v>1</v>
      </c>
      <c r="E93" s="43"/>
      <c r="F93" s="23"/>
      <c r="G93" s="22">
        <v>5500</v>
      </c>
      <c r="H93" s="22"/>
    </row>
    <row r="94" spans="1:8" ht="15">
      <c r="A94" s="111">
        <v>3</v>
      </c>
      <c r="B94" s="23" t="s">
        <v>122</v>
      </c>
      <c r="C94" s="23">
        <v>73</v>
      </c>
      <c r="D94" s="42">
        <v>209.35</v>
      </c>
      <c r="E94" s="43">
        <v>61000</v>
      </c>
      <c r="F94" s="23">
        <v>90600000</v>
      </c>
      <c r="G94" s="22">
        <v>37632129</v>
      </c>
      <c r="H94" s="22">
        <v>458</v>
      </c>
    </row>
    <row r="95" spans="1:8" ht="15">
      <c r="A95" s="111">
        <v>4</v>
      </c>
      <c r="B95" s="23" t="s">
        <v>123</v>
      </c>
      <c r="C95" s="23"/>
      <c r="D95" s="42"/>
      <c r="E95" s="43">
        <v>19574805</v>
      </c>
      <c r="F95" s="23">
        <v>2054117900</v>
      </c>
      <c r="G95" s="22">
        <v>200580311</v>
      </c>
      <c r="H95" s="22">
        <v>3425</v>
      </c>
    </row>
    <row r="96" spans="1:8" ht="15">
      <c r="A96" s="111">
        <v>5</v>
      </c>
      <c r="B96" s="23" t="s">
        <v>137</v>
      </c>
      <c r="C96" s="23">
        <v>5</v>
      </c>
      <c r="D96" s="42">
        <v>4.56</v>
      </c>
      <c r="E96" s="43">
        <v>6700</v>
      </c>
      <c r="F96" s="23">
        <v>1340000</v>
      </c>
      <c r="G96" s="22">
        <v>448000</v>
      </c>
      <c r="H96" s="22">
        <v>35</v>
      </c>
    </row>
    <row r="97" spans="1:8" ht="15">
      <c r="A97" s="111">
        <v>6</v>
      </c>
      <c r="B97" s="23" t="s">
        <v>124</v>
      </c>
      <c r="C97" s="23">
        <v>24</v>
      </c>
      <c r="D97" s="42">
        <v>47.8</v>
      </c>
      <c r="E97" s="43">
        <v>15500</v>
      </c>
      <c r="F97" s="23">
        <v>15600000</v>
      </c>
      <c r="G97" s="22">
        <v>2557037</v>
      </c>
      <c r="H97" s="22">
        <v>180</v>
      </c>
    </row>
    <row r="98" spans="1:8" ht="15">
      <c r="A98" s="111">
        <v>7</v>
      </c>
      <c r="B98" s="23" t="s">
        <v>125</v>
      </c>
      <c r="C98" s="23">
        <v>156</v>
      </c>
      <c r="D98" s="42">
        <v>156.685</v>
      </c>
      <c r="E98" s="43">
        <v>1624621</v>
      </c>
      <c r="F98" s="23">
        <v>324882200</v>
      </c>
      <c r="G98" s="22">
        <v>26430835</v>
      </c>
      <c r="H98" s="22">
        <v>2418</v>
      </c>
    </row>
    <row r="99" spans="1:8" ht="15">
      <c r="A99" s="111">
        <v>8</v>
      </c>
      <c r="B99" s="23" t="s">
        <v>151</v>
      </c>
      <c r="C99" s="23">
        <v>5</v>
      </c>
      <c r="D99" s="42">
        <v>4.82</v>
      </c>
      <c r="E99" s="43">
        <v>500</v>
      </c>
      <c r="F99" s="23">
        <v>300000</v>
      </c>
      <c r="G99" s="22">
        <v>145825</v>
      </c>
      <c r="H99" s="22">
        <v>28</v>
      </c>
    </row>
    <row r="100" spans="1:8" ht="15">
      <c r="A100" s="111">
        <v>9</v>
      </c>
      <c r="B100" s="23" t="s">
        <v>140</v>
      </c>
      <c r="C100" s="23"/>
      <c r="D100" s="23"/>
      <c r="E100" s="46">
        <v>2890000</v>
      </c>
      <c r="F100" s="20">
        <v>2023000000</v>
      </c>
      <c r="G100" s="22">
        <v>294162000</v>
      </c>
      <c r="H100" s="22">
        <v>12000</v>
      </c>
    </row>
    <row r="101" spans="1:8" ht="15">
      <c r="A101" s="111">
        <v>10</v>
      </c>
      <c r="B101" s="23" t="s">
        <v>128</v>
      </c>
      <c r="C101" s="23"/>
      <c r="D101" s="42"/>
      <c r="E101" s="43"/>
      <c r="F101" s="23"/>
      <c r="G101" s="22">
        <v>54948332</v>
      </c>
      <c r="H101" s="22"/>
    </row>
    <row r="102" spans="1:8" ht="15.75">
      <c r="A102" s="111">
        <v>11</v>
      </c>
      <c r="B102" s="16" t="s">
        <v>41</v>
      </c>
      <c r="C102" s="16"/>
      <c r="D102" s="174"/>
      <c r="E102" s="174"/>
      <c r="F102" s="91"/>
      <c r="G102" s="91">
        <v>28862867</v>
      </c>
      <c r="H102" s="175"/>
    </row>
    <row r="103" spans="1:8" ht="15.75">
      <c r="A103" s="111"/>
      <c r="B103" s="16"/>
      <c r="C103" s="16"/>
      <c r="D103" s="174"/>
      <c r="E103" s="174"/>
      <c r="F103" s="91"/>
      <c r="G103" s="91"/>
      <c r="H103" s="175"/>
    </row>
    <row r="104" spans="1:8" ht="15.75">
      <c r="A104" s="689"/>
      <c r="B104" s="696" t="s">
        <v>129</v>
      </c>
      <c r="C104" s="620">
        <f aca="true" t="shared" si="7" ref="C104:H104">SUM(C92:C103)</f>
        <v>264</v>
      </c>
      <c r="D104" s="697">
        <f t="shared" si="7"/>
        <v>424.215</v>
      </c>
      <c r="E104" s="620">
        <f t="shared" si="7"/>
        <v>25468000</v>
      </c>
      <c r="F104" s="709">
        <f t="shared" si="7"/>
        <v>4768814900</v>
      </c>
      <c r="G104" s="709">
        <f t="shared" si="7"/>
        <v>652245954</v>
      </c>
      <c r="H104" s="710">
        <f t="shared" si="7"/>
        <v>19754</v>
      </c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8.75" customHeight="1">
      <c r="A106" s="1172" t="s">
        <v>221</v>
      </c>
      <c r="B106" s="1172"/>
      <c r="C106" s="1172"/>
      <c r="D106" s="1172"/>
      <c r="E106" s="1172"/>
      <c r="F106" s="1172"/>
      <c r="G106" s="1172"/>
      <c r="H106" s="1172"/>
    </row>
    <row r="107" spans="1:8" ht="15">
      <c r="A107" s="1166" t="s">
        <v>121</v>
      </c>
      <c r="B107" s="1101" t="s">
        <v>5</v>
      </c>
      <c r="C107" s="1101" t="s">
        <v>6</v>
      </c>
      <c r="D107" s="667" t="s">
        <v>7</v>
      </c>
      <c r="E107" s="668" t="s">
        <v>8</v>
      </c>
      <c r="F107" s="669" t="s">
        <v>9</v>
      </c>
      <c r="G107" s="669" t="s">
        <v>10</v>
      </c>
      <c r="H107" s="668" t="s">
        <v>11</v>
      </c>
    </row>
    <row r="108" spans="1:8" ht="15">
      <c r="A108" s="1167"/>
      <c r="B108" s="1102"/>
      <c r="C108" s="1102"/>
      <c r="D108" s="670" t="s">
        <v>12</v>
      </c>
      <c r="E108" s="671" t="s">
        <v>13</v>
      </c>
      <c r="F108" s="672" t="s">
        <v>214</v>
      </c>
      <c r="G108" s="672" t="s">
        <v>214</v>
      </c>
      <c r="H108" s="671" t="s">
        <v>15</v>
      </c>
    </row>
    <row r="109" spans="1:8" ht="15">
      <c r="A109" s="111">
        <v>1</v>
      </c>
      <c r="B109" s="23" t="s">
        <v>123</v>
      </c>
      <c r="C109" s="23">
        <v>71</v>
      </c>
      <c r="D109" s="42">
        <v>213.9491</v>
      </c>
      <c r="E109" s="341">
        <v>6725923</v>
      </c>
      <c r="F109" s="380">
        <v>672592300</v>
      </c>
      <c r="G109" s="22">
        <v>134558473</v>
      </c>
      <c r="H109" s="22">
        <v>900</v>
      </c>
    </row>
    <row r="110" spans="1:8" ht="15">
      <c r="A110" s="111">
        <v>2</v>
      </c>
      <c r="B110" s="23" t="s">
        <v>152</v>
      </c>
      <c r="C110" s="23">
        <v>1</v>
      </c>
      <c r="D110" s="42">
        <v>164</v>
      </c>
      <c r="E110" s="293">
        <v>3000</v>
      </c>
      <c r="F110" s="291">
        <v>900000</v>
      </c>
      <c r="G110" s="22">
        <v>230496</v>
      </c>
      <c r="H110" s="22">
        <v>3</v>
      </c>
    </row>
    <row r="111" spans="1:8" ht="15">
      <c r="A111" s="111">
        <v>3</v>
      </c>
      <c r="B111" s="23" t="s">
        <v>137</v>
      </c>
      <c r="C111" s="23">
        <v>12</v>
      </c>
      <c r="D111" s="42">
        <v>50.29</v>
      </c>
      <c r="E111" s="341">
        <v>28000</v>
      </c>
      <c r="F111" s="380">
        <v>7000000</v>
      </c>
      <c r="G111" s="22">
        <v>1588217</v>
      </c>
      <c r="H111" s="22">
        <v>25</v>
      </c>
    </row>
    <row r="112" spans="1:8" ht="15">
      <c r="A112" s="111">
        <v>4</v>
      </c>
      <c r="B112" s="23" t="s">
        <v>125</v>
      </c>
      <c r="C112" s="23">
        <v>10</v>
      </c>
      <c r="D112" s="42">
        <v>10</v>
      </c>
      <c r="E112" s="43">
        <v>391994</v>
      </c>
      <c r="F112" s="23">
        <v>39199400</v>
      </c>
      <c r="G112" s="22">
        <v>6677221</v>
      </c>
      <c r="H112" s="22">
        <v>30</v>
      </c>
    </row>
    <row r="113" spans="1:8" ht="15">
      <c r="A113" s="111">
        <v>5</v>
      </c>
      <c r="B113" s="23" t="s">
        <v>135</v>
      </c>
      <c r="C113" s="23">
        <v>10</v>
      </c>
      <c r="D113" s="42">
        <v>6.5</v>
      </c>
      <c r="E113" s="43">
        <v>615606</v>
      </c>
      <c r="F113" s="23">
        <v>738727200</v>
      </c>
      <c r="G113" s="22">
        <v>12372131</v>
      </c>
      <c r="H113" s="22">
        <v>250</v>
      </c>
    </row>
    <row r="114" spans="1:8" ht="15">
      <c r="A114" s="111">
        <v>6</v>
      </c>
      <c r="B114" s="23" t="s">
        <v>140</v>
      </c>
      <c r="C114" s="23"/>
      <c r="D114" s="42"/>
      <c r="E114" s="43">
        <v>20628</v>
      </c>
      <c r="F114" s="23">
        <v>3094200</v>
      </c>
      <c r="G114" s="22">
        <v>550090</v>
      </c>
      <c r="H114" s="22">
        <v>20</v>
      </c>
    </row>
    <row r="115" spans="1:8" ht="15">
      <c r="A115" s="111">
        <v>7</v>
      </c>
      <c r="B115" s="23" t="s">
        <v>128</v>
      </c>
      <c r="C115" s="23"/>
      <c r="D115" s="42"/>
      <c r="E115" s="43"/>
      <c r="F115" s="23"/>
      <c r="G115" s="22">
        <v>3558865</v>
      </c>
      <c r="H115" s="22"/>
    </row>
    <row r="116" spans="1:8" ht="15.75">
      <c r="A116" s="111">
        <v>8</v>
      </c>
      <c r="B116" s="16" t="s">
        <v>41</v>
      </c>
      <c r="C116" s="23"/>
      <c r="D116" s="42"/>
      <c r="E116" s="43"/>
      <c r="F116" s="23"/>
      <c r="G116" s="22">
        <v>3274235</v>
      </c>
      <c r="H116" s="22"/>
    </row>
    <row r="117" spans="1:8" ht="15">
      <c r="A117" s="722"/>
      <c r="B117" s="625" t="s">
        <v>129</v>
      </c>
      <c r="C117" s="625">
        <f aca="true" t="shared" si="8" ref="C117:H117">SUM(C109:C116)</f>
        <v>104</v>
      </c>
      <c r="D117" s="626">
        <f t="shared" si="8"/>
        <v>444.7391</v>
      </c>
      <c r="E117" s="625">
        <f t="shared" si="8"/>
        <v>7785151</v>
      </c>
      <c r="F117" s="627">
        <f t="shared" si="8"/>
        <v>1461513100</v>
      </c>
      <c r="G117" s="627">
        <f t="shared" si="8"/>
        <v>162809728</v>
      </c>
      <c r="H117" s="703">
        <f t="shared" si="8"/>
        <v>1228</v>
      </c>
    </row>
    <row r="118" spans="1:8" ht="15">
      <c r="A118" s="262"/>
      <c r="B118" s="263"/>
      <c r="C118" s="263"/>
      <c r="D118" s="264"/>
      <c r="E118" s="263"/>
      <c r="F118" s="265"/>
      <c r="G118" s="265"/>
      <c r="H118" s="266"/>
    </row>
    <row r="119" spans="1:8" ht="18.75" customHeight="1">
      <c r="A119" s="1172" t="s">
        <v>222</v>
      </c>
      <c r="B119" s="1172"/>
      <c r="C119" s="1172"/>
      <c r="D119" s="1172"/>
      <c r="E119" s="1172"/>
      <c r="F119" s="1172"/>
      <c r="G119" s="1172"/>
      <c r="H119" s="1172"/>
    </row>
    <row r="120" spans="1:8" ht="15">
      <c r="A120" s="1166" t="s">
        <v>121</v>
      </c>
      <c r="B120" s="1101" t="s">
        <v>5</v>
      </c>
      <c r="C120" s="1101" t="s">
        <v>6</v>
      </c>
      <c r="D120" s="667" t="s">
        <v>7</v>
      </c>
      <c r="E120" s="668" t="s">
        <v>8</v>
      </c>
      <c r="F120" s="669" t="s">
        <v>9</v>
      </c>
      <c r="G120" s="669" t="s">
        <v>10</v>
      </c>
      <c r="H120" s="668" t="s">
        <v>11</v>
      </c>
    </row>
    <row r="121" spans="1:8" ht="15">
      <c r="A121" s="1167"/>
      <c r="B121" s="1102"/>
      <c r="C121" s="1102"/>
      <c r="D121" s="670" t="s">
        <v>12</v>
      </c>
      <c r="E121" s="671" t="s">
        <v>13</v>
      </c>
      <c r="F121" s="672" t="s">
        <v>214</v>
      </c>
      <c r="G121" s="672" t="s">
        <v>214</v>
      </c>
      <c r="H121" s="671" t="s">
        <v>15</v>
      </c>
    </row>
    <row r="122" spans="1:8" ht="15">
      <c r="A122" s="167">
        <v>1</v>
      </c>
      <c r="B122" s="23" t="s">
        <v>152</v>
      </c>
      <c r="C122" s="23"/>
      <c r="D122" s="42"/>
      <c r="E122" s="339"/>
      <c r="F122" s="366"/>
      <c r="G122" s="22">
        <v>1483450</v>
      </c>
      <c r="H122" s="22"/>
    </row>
    <row r="123" spans="1:8" ht="15">
      <c r="A123" s="167">
        <v>2</v>
      </c>
      <c r="B123" s="310" t="s">
        <v>123</v>
      </c>
      <c r="C123" s="307"/>
      <c r="D123" s="42"/>
      <c r="E123" s="43">
        <v>83994</v>
      </c>
      <c r="F123" s="23">
        <v>5789400</v>
      </c>
      <c r="G123" s="277">
        <v>1137823</v>
      </c>
      <c r="H123" s="313"/>
    </row>
    <row r="124" spans="1:8" ht="15">
      <c r="A124" s="167">
        <v>3</v>
      </c>
      <c r="B124" s="23" t="s">
        <v>137</v>
      </c>
      <c r="C124" s="307">
        <v>24</v>
      </c>
      <c r="D124" s="42">
        <v>45.3666</v>
      </c>
      <c r="E124" s="43">
        <v>350641</v>
      </c>
      <c r="F124" s="23">
        <v>41681860</v>
      </c>
      <c r="G124" s="277">
        <v>29102830</v>
      </c>
      <c r="H124" s="313">
        <v>305</v>
      </c>
    </row>
    <row r="125" spans="1:8" ht="15">
      <c r="A125" s="167">
        <v>4</v>
      </c>
      <c r="B125" s="23" t="s">
        <v>124</v>
      </c>
      <c r="C125" s="23">
        <v>15</v>
      </c>
      <c r="D125" s="42">
        <v>40.1079</v>
      </c>
      <c r="E125" s="43">
        <v>25376</v>
      </c>
      <c r="F125" s="23">
        <v>3030400</v>
      </c>
      <c r="G125" s="277">
        <v>4149991</v>
      </c>
      <c r="H125" s="313">
        <v>121</v>
      </c>
    </row>
    <row r="126" spans="1:8" ht="15">
      <c r="A126" s="167">
        <v>5</v>
      </c>
      <c r="B126" s="23" t="s">
        <v>125</v>
      </c>
      <c r="C126" s="307">
        <v>92</v>
      </c>
      <c r="D126" s="42">
        <v>93.6845</v>
      </c>
      <c r="E126" s="293">
        <v>2164025</v>
      </c>
      <c r="F126" s="292">
        <v>254560711</v>
      </c>
      <c r="G126" s="277">
        <v>27314377</v>
      </c>
      <c r="H126" s="313">
        <v>600</v>
      </c>
    </row>
    <row r="127" spans="1:8" ht="15">
      <c r="A127" s="167">
        <v>6</v>
      </c>
      <c r="B127" s="23" t="s">
        <v>145</v>
      </c>
      <c r="C127" s="23"/>
      <c r="D127" s="42"/>
      <c r="E127" s="43">
        <v>92061</v>
      </c>
      <c r="F127" s="22">
        <v>2761830</v>
      </c>
      <c r="G127" s="22">
        <v>149977</v>
      </c>
      <c r="H127" s="22"/>
    </row>
    <row r="128" spans="1:8" ht="15">
      <c r="A128" s="167">
        <v>7</v>
      </c>
      <c r="B128" s="23" t="s">
        <v>148</v>
      </c>
      <c r="C128" s="23"/>
      <c r="D128" s="42"/>
      <c r="E128" s="43"/>
      <c r="F128" s="23"/>
      <c r="G128" s="22">
        <v>156750</v>
      </c>
      <c r="H128" s="22"/>
    </row>
    <row r="129" spans="1:8" ht="15">
      <c r="A129" s="167">
        <v>8</v>
      </c>
      <c r="B129" s="23" t="s">
        <v>140</v>
      </c>
      <c r="C129" s="23">
        <v>860</v>
      </c>
      <c r="D129" s="42">
        <v>2021.5928000000001</v>
      </c>
      <c r="E129" s="602">
        <v>2333466</v>
      </c>
      <c r="F129" s="390">
        <v>2391135003</v>
      </c>
      <c r="G129" s="22">
        <v>255033824</v>
      </c>
      <c r="H129" s="22">
        <v>11023</v>
      </c>
    </row>
    <row r="130" spans="1:8" ht="15.75">
      <c r="A130" s="167">
        <v>9</v>
      </c>
      <c r="B130" s="16" t="s">
        <v>127</v>
      </c>
      <c r="C130" s="23">
        <v>3</v>
      </c>
      <c r="D130" s="42">
        <v>3</v>
      </c>
      <c r="E130" s="43">
        <v>375</v>
      </c>
      <c r="F130" s="23">
        <v>187500</v>
      </c>
      <c r="G130" s="22">
        <v>103530</v>
      </c>
      <c r="H130" s="22">
        <v>4</v>
      </c>
    </row>
    <row r="131" spans="1:8" ht="15">
      <c r="A131" s="167">
        <v>10</v>
      </c>
      <c r="B131" s="23" t="s">
        <v>128</v>
      </c>
      <c r="C131" s="23"/>
      <c r="D131" s="42"/>
      <c r="E131" s="43"/>
      <c r="F131" s="23"/>
      <c r="G131" s="22">
        <v>4134823</v>
      </c>
      <c r="H131" s="22"/>
    </row>
    <row r="132" spans="1:8" ht="15">
      <c r="A132" s="167">
        <v>11</v>
      </c>
      <c r="B132" s="23" t="s">
        <v>41</v>
      </c>
      <c r="C132" s="23"/>
      <c r="D132" s="42"/>
      <c r="E132" s="43"/>
      <c r="F132" s="23"/>
      <c r="G132" s="277">
        <v>32027212</v>
      </c>
      <c r="H132" s="313"/>
    </row>
    <row r="133" spans="1:8" ht="15">
      <c r="A133" s="399"/>
      <c r="B133" s="23"/>
      <c r="C133" s="20"/>
      <c r="D133" s="32"/>
      <c r="E133" s="46"/>
      <c r="F133" s="20"/>
      <c r="G133" s="46"/>
      <c r="H133" s="46"/>
    </row>
    <row r="134" spans="1:8" ht="15">
      <c r="A134" s="699"/>
      <c r="B134" s="625" t="s">
        <v>129</v>
      </c>
      <c r="C134" s="625">
        <f aca="true" t="shared" si="9" ref="C134:H134">SUM(C122:C133)</f>
        <v>994</v>
      </c>
      <c r="D134" s="625">
        <f t="shared" si="9"/>
        <v>2203.7518</v>
      </c>
      <c r="E134" s="625">
        <f t="shared" si="9"/>
        <v>5049938</v>
      </c>
      <c r="F134" s="625">
        <f t="shared" si="9"/>
        <v>2699146704</v>
      </c>
      <c r="G134" s="625">
        <f t="shared" si="9"/>
        <v>354794587</v>
      </c>
      <c r="H134" s="625">
        <f t="shared" si="9"/>
        <v>12053</v>
      </c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8.75" customHeight="1">
      <c r="A136" s="1172" t="s">
        <v>223</v>
      </c>
      <c r="B136" s="1172"/>
      <c r="C136" s="1172"/>
      <c r="D136" s="1172"/>
      <c r="E136" s="1172"/>
      <c r="F136" s="1172"/>
      <c r="G136" s="1172"/>
      <c r="H136" s="1172"/>
    </row>
    <row r="137" spans="1:8" ht="15">
      <c r="A137" s="1166" t="s">
        <v>121</v>
      </c>
      <c r="B137" s="1101" t="s">
        <v>5</v>
      </c>
      <c r="C137" s="1101" t="s">
        <v>6</v>
      </c>
      <c r="D137" s="667" t="s">
        <v>7</v>
      </c>
      <c r="E137" s="668" t="s">
        <v>8</v>
      </c>
      <c r="F137" s="669" t="s">
        <v>9</v>
      </c>
      <c r="G137" s="669" t="s">
        <v>10</v>
      </c>
      <c r="H137" s="668" t="s">
        <v>11</v>
      </c>
    </row>
    <row r="138" spans="1:8" ht="15">
      <c r="A138" s="1167"/>
      <c r="B138" s="1102"/>
      <c r="C138" s="1102"/>
      <c r="D138" s="670" t="s">
        <v>12</v>
      </c>
      <c r="E138" s="671" t="s">
        <v>13</v>
      </c>
      <c r="F138" s="672" t="s">
        <v>214</v>
      </c>
      <c r="G138" s="672" t="s">
        <v>214</v>
      </c>
      <c r="H138" s="671" t="s">
        <v>15</v>
      </c>
    </row>
    <row r="139" spans="1:8" ht="15">
      <c r="A139" s="603">
        <v>1</v>
      </c>
      <c r="B139" s="310" t="s">
        <v>135</v>
      </c>
      <c r="C139" s="310"/>
      <c r="D139" s="310"/>
      <c r="E139" s="339">
        <v>77830</v>
      </c>
      <c r="F139" s="310">
        <v>9339600</v>
      </c>
      <c r="G139" s="313">
        <v>2084280</v>
      </c>
      <c r="H139" s="313">
        <v>180</v>
      </c>
    </row>
    <row r="140" spans="1:8" ht="15">
      <c r="A140" s="403">
        <v>2</v>
      </c>
      <c r="B140" s="310" t="s">
        <v>170</v>
      </c>
      <c r="C140" s="310">
        <v>3</v>
      </c>
      <c r="D140" s="310">
        <v>2.015</v>
      </c>
      <c r="E140" s="339">
        <v>1805</v>
      </c>
      <c r="F140" s="310">
        <v>198550</v>
      </c>
      <c r="G140" s="313">
        <v>564349</v>
      </c>
      <c r="H140" s="313">
        <v>16</v>
      </c>
    </row>
    <row r="141" spans="1:8" ht="15">
      <c r="A141" s="603">
        <v>3</v>
      </c>
      <c r="B141" s="310" t="s">
        <v>172</v>
      </c>
      <c r="C141" s="310">
        <v>1</v>
      </c>
      <c r="D141" s="310">
        <v>0.24</v>
      </c>
      <c r="E141" s="339">
        <v>0</v>
      </c>
      <c r="F141" s="310">
        <v>0</v>
      </c>
      <c r="G141" s="313"/>
      <c r="H141" s="313">
        <v>2</v>
      </c>
    </row>
    <row r="142" spans="1:8" ht="15">
      <c r="A142" s="403">
        <v>4</v>
      </c>
      <c r="B142" s="310" t="s">
        <v>122</v>
      </c>
      <c r="C142" s="310">
        <v>1</v>
      </c>
      <c r="D142" s="310">
        <v>3</v>
      </c>
      <c r="E142" s="339">
        <v>1416</v>
      </c>
      <c r="F142" s="310"/>
      <c r="G142" s="313">
        <v>75000</v>
      </c>
      <c r="H142" s="313"/>
    </row>
    <row r="143" spans="1:8" ht="15">
      <c r="A143" s="603">
        <v>5</v>
      </c>
      <c r="B143" s="310" t="s">
        <v>144</v>
      </c>
      <c r="C143" s="310"/>
      <c r="D143" s="310"/>
      <c r="E143" s="339">
        <v>229248</v>
      </c>
      <c r="F143" s="310">
        <v>25217280</v>
      </c>
      <c r="G143" s="313">
        <v>389722</v>
      </c>
      <c r="H143" s="313">
        <v>50</v>
      </c>
    </row>
    <row r="144" spans="1:8" ht="15">
      <c r="A144" s="403">
        <v>6</v>
      </c>
      <c r="B144" s="310" t="s">
        <v>123</v>
      </c>
      <c r="C144" s="310"/>
      <c r="D144" s="310"/>
      <c r="E144" s="339">
        <v>2380357</v>
      </c>
      <c r="F144" s="310">
        <v>400741200</v>
      </c>
      <c r="G144" s="313">
        <v>56470890</v>
      </c>
      <c r="H144" s="313">
        <v>1490</v>
      </c>
    </row>
    <row r="145" spans="1:8" ht="15">
      <c r="A145" s="603">
        <v>7</v>
      </c>
      <c r="B145" s="310" t="s">
        <v>137</v>
      </c>
      <c r="C145" s="310">
        <v>23</v>
      </c>
      <c r="D145" s="310">
        <v>154.4405</v>
      </c>
      <c r="E145" s="339">
        <v>400770</v>
      </c>
      <c r="F145" s="310">
        <v>53142900</v>
      </c>
      <c r="G145" s="313">
        <v>26352669</v>
      </c>
      <c r="H145" s="313">
        <v>10</v>
      </c>
    </row>
    <row r="146" spans="1:8" ht="15">
      <c r="A146" s="403">
        <v>8</v>
      </c>
      <c r="B146" s="310" t="s">
        <v>157</v>
      </c>
      <c r="C146" s="310">
        <v>6</v>
      </c>
      <c r="D146" s="310">
        <v>5.72</v>
      </c>
      <c r="E146" s="339">
        <v>301292</v>
      </c>
      <c r="F146" s="310">
        <v>19232550</v>
      </c>
      <c r="G146" s="313">
        <v>65892362</v>
      </c>
      <c r="H146" s="313">
        <v>405</v>
      </c>
    </row>
    <row r="147" spans="1:8" ht="15">
      <c r="A147" s="603">
        <v>9</v>
      </c>
      <c r="B147" s="310" t="s">
        <v>124</v>
      </c>
      <c r="C147" s="310">
        <v>26</v>
      </c>
      <c r="D147" s="310">
        <v>95.39</v>
      </c>
      <c r="E147" s="339">
        <v>6931</v>
      </c>
      <c r="F147" s="310">
        <v>3555750</v>
      </c>
      <c r="G147" s="313">
        <v>12455471</v>
      </c>
      <c r="H147" s="313">
        <v>85</v>
      </c>
    </row>
    <row r="148" spans="1:8" ht="15">
      <c r="A148" s="403">
        <v>10</v>
      </c>
      <c r="B148" s="310" t="s">
        <v>125</v>
      </c>
      <c r="C148" s="310">
        <v>13</v>
      </c>
      <c r="D148" s="310">
        <v>13</v>
      </c>
      <c r="E148" s="339">
        <v>2162527</v>
      </c>
      <c r="F148" s="310">
        <v>308757388</v>
      </c>
      <c r="G148" s="313">
        <v>18878382</v>
      </c>
      <c r="H148" s="313">
        <v>164</v>
      </c>
    </row>
    <row r="149" spans="1:8" ht="15">
      <c r="A149" s="603">
        <v>11</v>
      </c>
      <c r="B149" s="310" t="s">
        <v>145</v>
      </c>
      <c r="C149" s="310"/>
      <c r="D149" s="310"/>
      <c r="E149" s="339">
        <v>814420</v>
      </c>
      <c r="F149" s="310">
        <v>87968600</v>
      </c>
      <c r="G149" s="313">
        <v>1374873</v>
      </c>
      <c r="H149" s="313">
        <v>140</v>
      </c>
    </row>
    <row r="150" spans="1:8" ht="15">
      <c r="A150" s="403">
        <v>12</v>
      </c>
      <c r="B150" s="310" t="s">
        <v>148</v>
      </c>
      <c r="C150" s="310"/>
      <c r="D150" s="310"/>
      <c r="E150" s="339">
        <v>4650</v>
      </c>
      <c r="F150" s="310">
        <v>651000</v>
      </c>
      <c r="G150" s="313">
        <v>1069639</v>
      </c>
      <c r="H150" s="313">
        <v>40</v>
      </c>
    </row>
    <row r="151" spans="1:8" ht="15">
      <c r="A151" s="603">
        <v>13</v>
      </c>
      <c r="B151" s="310" t="s">
        <v>140</v>
      </c>
      <c r="C151" s="310"/>
      <c r="D151" s="310"/>
      <c r="E151" s="339"/>
      <c r="F151" s="310"/>
      <c r="G151" s="313">
        <v>17319517</v>
      </c>
      <c r="H151" s="313"/>
    </row>
    <row r="152" spans="1:8" ht="15">
      <c r="A152" s="403">
        <v>14</v>
      </c>
      <c r="B152" s="310" t="s">
        <v>160</v>
      </c>
      <c r="C152" s="310"/>
      <c r="D152" s="310"/>
      <c r="E152" s="339">
        <v>50059</v>
      </c>
      <c r="F152" s="310">
        <v>9010620</v>
      </c>
      <c r="G152" s="313">
        <v>2225446</v>
      </c>
      <c r="H152" s="313">
        <v>50</v>
      </c>
    </row>
    <row r="153" spans="1:8" ht="15">
      <c r="A153" s="603">
        <v>15</v>
      </c>
      <c r="B153" s="310" t="s">
        <v>128</v>
      </c>
      <c r="C153" s="310"/>
      <c r="D153" s="310"/>
      <c r="E153" s="339"/>
      <c r="F153" s="310"/>
      <c r="G153" s="313">
        <v>11429463</v>
      </c>
      <c r="H153" s="313"/>
    </row>
    <row r="154" spans="1:8" ht="15.75">
      <c r="A154" s="403">
        <v>16</v>
      </c>
      <c r="B154" s="367" t="s">
        <v>41</v>
      </c>
      <c r="C154" s="310"/>
      <c r="D154" s="410"/>
      <c r="E154" s="339"/>
      <c r="F154" s="310"/>
      <c r="G154" s="313">
        <v>1426017</v>
      </c>
      <c r="H154" s="313"/>
    </row>
    <row r="155" spans="1:8" ht="15">
      <c r="A155" s="190"/>
      <c r="B155" s="85" t="s">
        <v>129</v>
      </c>
      <c r="C155" s="85">
        <f aca="true" t="shared" si="10" ref="C155:H155">SUM(C139:C154)</f>
        <v>73</v>
      </c>
      <c r="D155" s="85">
        <f t="shared" si="10"/>
        <v>273.8055</v>
      </c>
      <c r="E155" s="85">
        <f t="shared" si="10"/>
        <v>6431305</v>
      </c>
      <c r="F155" s="85">
        <f t="shared" si="10"/>
        <v>917815438</v>
      </c>
      <c r="G155" s="85">
        <f t="shared" si="10"/>
        <v>218008080</v>
      </c>
      <c r="H155" s="85">
        <f t="shared" si="10"/>
        <v>2632</v>
      </c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8.75" customHeight="1">
      <c r="A157" s="1172" t="s">
        <v>224</v>
      </c>
      <c r="B157" s="1172"/>
      <c r="C157" s="1172"/>
      <c r="D157" s="1172"/>
      <c r="E157" s="1172"/>
      <c r="F157" s="1172"/>
      <c r="G157" s="1172"/>
      <c r="H157" s="1172"/>
    </row>
    <row r="158" spans="1:8" ht="15">
      <c r="A158" s="1166" t="s">
        <v>121</v>
      </c>
      <c r="B158" s="1101" t="s">
        <v>5</v>
      </c>
      <c r="C158" s="1101" t="s">
        <v>6</v>
      </c>
      <c r="D158" s="667" t="s">
        <v>7</v>
      </c>
      <c r="E158" s="668" t="s">
        <v>8</v>
      </c>
      <c r="F158" s="669" t="s">
        <v>9</v>
      </c>
      <c r="G158" s="669" t="s">
        <v>10</v>
      </c>
      <c r="H158" s="668" t="s">
        <v>11</v>
      </c>
    </row>
    <row r="159" spans="1:8" ht="15">
      <c r="A159" s="1167"/>
      <c r="B159" s="1102"/>
      <c r="C159" s="1102"/>
      <c r="D159" s="670" t="s">
        <v>12</v>
      </c>
      <c r="E159" s="671" t="s">
        <v>13</v>
      </c>
      <c r="F159" s="672" t="s">
        <v>214</v>
      </c>
      <c r="G159" s="672" t="s">
        <v>214</v>
      </c>
      <c r="H159" s="671" t="s">
        <v>15</v>
      </c>
    </row>
    <row r="160" spans="1:8" ht="15">
      <c r="A160" s="111">
        <v>1</v>
      </c>
      <c r="B160" s="23" t="s">
        <v>153</v>
      </c>
      <c r="C160" s="23">
        <v>134</v>
      </c>
      <c r="D160" s="42">
        <v>102.74</v>
      </c>
      <c r="E160" s="43">
        <v>4209863</v>
      </c>
      <c r="F160" s="23">
        <v>420986300</v>
      </c>
      <c r="G160" s="22">
        <v>71609702</v>
      </c>
      <c r="H160" s="22">
        <v>900</v>
      </c>
    </row>
    <row r="161" spans="1:8" ht="15">
      <c r="A161" s="111">
        <v>2</v>
      </c>
      <c r="B161" s="23" t="s">
        <v>124</v>
      </c>
      <c r="C161" s="23">
        <v>60</v>
      </c>
      <c r="D161" s="42">
        <v>138.4913</v>
      </c>
      <c r="E161" s="43">
        <v>123000</v>
      </c>
      <c r="F161" s="23">
        <v>246000000</v>
      </c>
      <c r="G161" s="22">
        <v>24046891</v>
      </c>
      <c r="H161" s="22">
        <v>200</v>
      </c>
    </row>
    <row r="162" spans="1:8" ht="15">
      <c r="A162" s="111">
        <v>3</v>
      </c>
      <c r="B162" s="23" t="s">
        <v>135</v>
      </c>
      <c r="C162" s="23"/>
      <c r="D162" s="42"/>
      <c r="E162" s="43">
        <v>254342</v>
      </c>
      <c r="F162" s="23">
        <v>305210400</v>
      </c>
      <c r="G162" s="22">
        <v>5128861</v>
      </c>
      <c r="H162" s="22">
        <v>300</v>
      </c>
    </row>
    <row r="163" spans="1:8" ht="15">
      <c r="A163" s="111">
        <v>4</v>
      </c>
      <c r="B163" s="23" t="s">
        <v>140</v>
      </c>
      <c r="C163" s="23"/>
      <c r="D163" s="42"/>
      <c r="E163" s="43">
        <v>126707</v>
      </c>
      <c r="F163" s="23">
        <v>19006050</v>
      </c>
      <c r="G163" s="22">
        <v>3378866</v>
      </c>
      <c r="H163" s="22">
        <v>30</v>
      </c>
    </row>
    <row r="164" spans="1:8" ht="15">
      <c r="A164" s="111">
        <v>5</v>
      </c>
      <c r="B164" s="23" t="s">
        <v>128</v>
      </c>
      <c r="C164" s="23"/>
      <c r="D164" s="42"/>
      <c r="E164" s="43"/>
      <c r="F164" s="23"/>
      <c r="G164" s="22">
        <v>4678093</v>
      </c>
      <c r="H164" s="22"/>
    </row>
    <row r="165" spans="1:8" ht="15.75">
      <c r="A165" s="111">
        <v>6</v>
      </c>
      <c r="B165" s="16" t="s">
        <v>41</v>
      </c>
      <c r="C165" s="23"/>
      <c r="D165" s="42"/>
      <c r="E165" s="43"/>
      <c r="F165" s="23"/>
      <c r="G165" s="22">
        <v>1124401</v>
      </c>
      <c r="H165" s="22"/>
    </row>
    <row r="166" spans="1:8" ht="15.75">
      <c r="A166" s="689"/>
      <c r="B166" s="696" t="s">
        <v>129</v>
      </c>
      <c r="C166" s="625">
        <f>SUM(C160:C163)</f>
        <v>194</v>
      </c>
      <c r="D166" s="626">
        <f>SUM(D160:D163)</f>
        <v>241.23129999999998</v>
      </c>
      <c r="E166" s="625">
        <f>SUM(E160:E163)</f>
        <v>4713912</v>
      </c>
      <c r="F166" s="627">
        <f>SUM(F160:F163)</f>
        <v>991202750</v>
      </c>
      <c r="G166" s="627">
        <f>SUM(G160:G165)</f>
        <v>109966814</v>
      </c>
      <c r="H166" s="703">
        <f>SUM(H160:H163)</f>
        <v>1430</v>
      </c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.75">
      <c r="A168" s="1172" t="s">
        <v>225</v>
      </c>
      <c r="B168" s="1172"/>
      <c r="C168" s="1172"/>
      <c r="D168" s="1172"/>
      <c r="E168" s="1172"/>
      <c r="F168" s="1172"/>
      <c r="G168" s="1172"/>
      <c r="H168" s="1172"/>
    </row>
    <row r="169" spans="1:8" ht="15">
      <c r="A169" s="1166" t="s">
        <v>121</v>
      </c>
      <c r="B169" s="1101" t="s">
        <v>5</v>
      </c>
      <c r="C169" s="1101" t="s">
        <v>6</v>
      </c>
      <c r="D169" s="667" t="s">
        <v>7</v>
      </c>
      <c r="E169" s="668" t="s">
        <v>8</v>
      </c>
      <c r="F169" s="669" t="s">
        <v>9</v>
      </c>
      <c r="G169" s="669" t="s">
        <v>10</v>
      </c>
      <c r="H169" s="668" t="s">
        <v>11</v>
      </c>
    </row>
    <row r="170" spans="1:8" ht="15">
      <c r="A170" s="1167"/>
      <c r="B170" s="1102"/>
      <c r="C170" s="1102"/>
      <c r="D170" s="670" t="s">
        <v>12</v>
      </c>
      <c r="E170" s="671" t="s">
        <v>13</v>
      </c>
      <c r="F170" s="672" t="s">
        <v>214</v>
      </c>
      <c r="G170" s="672" t="s">
        <v>214</v>
      </c>
      <c r="H170" s="671" t="s">
        <v>15</v>
      </c>
    </row>
    <row r="171" spans="1:8" ht="15">
      <c r="A171" s="190">
        <v>1</v>
      </c>
      <c r="B171" s="23" t="s">
        <v>125</v>
      </c>
      <c r="C171" s="23">
        <v>104</v>
      </c>
      <c r="D171" s="23">
        <v>233.73</v>
      </c>
      <c r="E171" s="43">
        <v>2040000</v>
      </c>
      <c r="F171" s="292">
        <v>102000000</v>
      </c>
      <c r="G171" s="22">
        <v>24850000</v>
      </c>
      <c r="H171" s="22">
        <v>3000</v>
      </c>
    </row>
    <row r="172" spans="1:8" ht="15">
      <c r="A172" s="111">
        <v>2</v>
      </c>
      <c r="B172" s="23" t="s">
        <v>124</v>
      </c>
      <c r="C172" s="23">
        <v>2</v>
      </c>
      <c r="D172" s="23">
        <v>5.2998</v>
      </c>
      <c r="E172" s="43">
        <v>1150</v>
      </c>
      <c r="F172" s="23">
        <v>345000</v>
      </c>
      <c r="G172" s="22">
        <v>175000</v>
      </c>
      <c r="H172" s="22">
        <v>20</v>
      </c>
    </row>
    <row r="173" spans="1:8" ht="15">
      <c r="A173" s="190">
        <v>3</v>
      </c>
      <c r="B173" s="23" t="s">
        <v>135</v>
      </c>
      <c r="C173" s="23"/>
      <c r="D173" s="23"/>
      <c r="E173" s="43">
        <v>372000</v>
      </c>
      <c r="F173" s="23">
        <v>186000000</v>
      </c>
      <c r="G173" s="22">
        <v>5120000</v>
      </c>
      <c r="H173" s="22">
        <v>1200</v>
      </c>
    </row>
    <row r="174" spans="1:8" ht="15">
      <c r="A174" s="111">
        <v>4</v>
      </c>
      <c r="B174" s="23" t="s">
        <v>123</v>
      </c>
      <c r="C174" s="23"/>
      <c r="D174" s="23"/>
      <c r="E174" s="43">
        <v>1920000</v>
      </c>
      <c r="F174" s="23">
        <v>96000000</v>
      </c>
      <c r="G174" s="22">
        <v>44245000</v>
      </c>
      <c r="H174" s="22">
        <v>5000</v>
      </c>
    </row>
    <row r="175" spans="1:8" ht="15">
      <c r="A175" s="190">
        <v>5</v>
      </c>
      <c r="B175" s="23" t="s">
        <v>128</v>
      </c>
      <c r="C175" s="23"/>
      <c r="D175" s="23"/>
      <c r="E175" s="43"/>
      <c r="F175" s="23"/>
      <c r="G175" s="22">
        <v>12050000</v>
      </c>
      <c r="H175" s="22"/>
    </row>
    <row r="176" spans="1:8" ht="15">
      <c r="A176" s="111">
        <v>6</v>
      </c>
      <c r="B176" s="23" t="s">
        <v>41</v>
      </c>
      <c r="C176" s="23"/>
      <c r="D176" s="23"/>
      <c r="E176" s="43"/>
      <c r="F176" s="23"/>
      <c r="G176" s="22">
        <v>30775000</v>
      </c>
      <c r="H176" s="22"/>
    </row>
    <row r="177" spans="1:8" ht="15.75">
      <c r="A177" s="719"/>
      <c r="B177" s="625" t="s">
        <v>129</v>
      </c>
      <c r="C177" s="720">
        <f aca="true" t="shared" si="11" ref="C177:H177">SUM(C171:C176)</f>
        <v>106</v>
      </c>
      <c r="D177" s="721">
        <f t="shared" si="11"/>
        <v>239.0298</v>
      </c>
      <c r="E177" s="720">
        <f t="shared" si="11"/>
        <v>4333150</v>
      </c>
      <c r="F177" s="720">
        <f t="shared" si="11"/>
        <v>384345000</v>
      </c>
      <c r="G177" s="720">
        <f t="shared" si="11"/>
        <v>117215000</v>
      </c>
      <c r="H177" s="720">
        <f t="shared" si="11"/>
        <v>9220</v>
      </c>
    </row>
    <row r="178" spans="1:8" ht="15.75">
      <c r="A178" s="121"/>
      <c r="B178" s="121"/>
      <c r="C178" s="121"/>
      <c r="D178" s="121"/>
      <c r="E178" s="121"/>
      <c r="F178" s="121"/>
      <c r="G178" s="121"/>
      <c r="H178" s="121"/>
    </row>
    <row r="179" spans="1:8" ht="15.75">
      <c r="A179" s="1172" t="s">
        <v>226</v>
      </c>
      <c r="B179" s="1172"/>
      <c r="C179" s="1172"/>
      <c r="D179" s="1172"/>
      <c r="E179" s="1172"/>
      <c r="F179" s="1172"/>
      <c r="G179" s="1172"/>
      <c r="H179" s="1172"/>
    </row>
    <row r="180" spans="1:8" ht="15">
      <c r="A180" s="1166" t="s">
        <v>121</v>
      </c>
      <c r="B180" s="1101" t="s">
        <v>5</v>
      </c>
      <c r="C180" s="1101" t="s">
        <v>6</v>
      </c>
      <c r="D180" s="667" t="s">
        <v>7</v>
      </c>
      <c r="E180" s="668" t="s">
        <v>8</v>
      </c>
      <c r="F180" s="669" t="s">
        <v>9</v>
      </c>
      <c r="G180" s="669" t="s">
        <v>10</v>
      </c>
      <c r="H180" s="668" t="s">
        <v>11</v>
      </c>
    </row>
    <row r="181" spans="1:8" ht="15">
      <c r="A181" s="1167"/>
      <c r="B181" s="1102"/>
      <c r="C181" s="1102"/>
      <c r="D181" s="670" t="s">
        <v>12</v>
      </c>
      <c r="E181" s="671" t="s">
        <v>13</v>
      </c>
      <c r="F181" s="672" t="s">
        <v>214</v>
      </c>
      <c r="G181" s="672" t="s">
        <v>214</v>
      </c>
      <c r="H181" s="671" t="s">
        <v>15</v>
      </c>
    </row>
    <row r="182" spans="1:8" ht="15">
      <c r="A182" s="167">
        <v>1</v>
      </c>
      <c r="B182" s="23" t="s">
        <v>371</v>
      </c>
      <c r="C182" s="23">
        <v>128</v>
      </c>
      <c r="D182" s="42">
        <v>2094.44</v>
      </c>
      <c r="E182" s="375">
        <v>235557</v>
      </c>
      <c r="F182" s="366">
        <v>164889900</v>
      </c>
      <c r="G182" s="22">
        <v>165628000</v>
      </c>
      <c r="H182" s="22">
        <v>750</v>
      </c>
    </row>
    <row r="183" spans="1:8" ht="15">
      <c r="A183" s="167">
        <v>2</v>
      </c>
      <c r="B183" s="23" t="s">
        <v>125</v>
      </c>
      <c r="C183" s="23">
        <v>27</v>
      </c>
      <c r="D183" s="42">
        <v>189.88</v>
      </c>
      <c r="E183" s="43">
        <v>81824</v>
      </c>
      <c r="F183" s="23">
        <v>8182400</v>
      </c>
      <c r="G183" s="22">
        <v>897000</v>
      </c>
      <c r="H183" s="22">
        <v>150</v>
      </c>
    </row>
    <row r="184" spans="1:8" ht="15">
      <c r="A184" s="167">
        <v>3</v>
      </c>
      <c r="B184" s="23" t="s">
        <v>135</v>
      </c>
      <c r="C184" s="23"/>
      <c r="D184" s="42"/>
      <c r="E184" s="43">
        <v>544425</v>
      </c>
      <c r="F184" s="23">
        <v>381097500</v>
      </c>
      <c r="G184" s="22">
        <v>9564000</v>
      </c>
      <c r="H184" s="22">
        <v>720</v>
      </c>
    </row>
    <row r="185" spans="1:8" ht="15">
      <c r="A185" s="167">
        <v>4</v>
      </c>
      <c r="B185" s="23" t="s">
        <v>123</v>
      </c>
      <c r="C185" s="23"/>
      <c r="D185" s="42"/>
      <c r="E185" s="43">
        <v>250000</v>
      </c>
      <c r="F185" s="20">
        <v>25000000</v>
      </c>
      <c r="G185" s="22">
        <v>4342000</v>
      </c>
      <c r="H185" s="22"/>
    </row>
    <row r="186" spans="1:8" ht="15">
      <c r="A186" s="184">
        <v>5</v>
      </c>
      <c r="B186" s="23" t="s">
        <v>128</v>
      </c>
      <c r="C186" s="185"/>
      <c r="D186" s="186"/>
      <c r="E186" s="187"/>
      <c r="F186" s="185"/>
      <c r="G186" s="188">
        <v>3671000</v>
      </c>
      <c r="H186" s="188"/>
    </row>
    <row r="187" spans="1:8" ht="15.75">
      <c r="A187" s="184">
        <v>6</v>
      </c>
      <c r="B187" s="16" t="s">
        <v>41</v>
      </c>
      <c r="C187" s="185"/>
      <c r="D187" s="186"/>
      <c r="E187" s="187"/>
      <c r="F187" s="185"/>
      <c r="G187" s="188">
        <v>4037000</v>
      </c>
      <c r="H187" s="188"/>
    </row>
    <row r="188" spans="1:8" ht="15">
      <c r="A188" s="699"/>
      <c r="B188" s="625" t="s">
        <v>129</v>
      </c>
      <c r="C188" s="680">
        <f aca="true" t="shared" si="12" ref="C188:H188">SUM(C182:C187)</f>
        <v>155</v>
      </c>
      <c r="D188" s="681">
        <f t="shared" si="12"/>
        <v>2284.32</v>
      </c>
      <c r="E188" s="680">
        <f t="shared" si="12"/>
        <v>1111806</v>
      </c>
      <c r="F188" s="701">
        <f t="shared" si="12"/>
        <v>579169800</v>
      </c>
      <c r="G188" s="701">
        <f t="shared" si="12"/>
        <v>188139000</v>
      </c>
      <c r="H188" s="703">
        <f t="shared" si="12"/>
        <v>1620</v>
      </c>
    </row>
    <row r="189" spans="1:8" ht="15.75">
      <c r="A189" s="121"/>
      <c r="B189" s="121"/>
      <c r="C189" s="121"/>
      <c r="D189" s="121"/>
      <c r="E189" s="121"/>
      <c r="F189" s="121"/>
      <c r="G189" s="121"/>
      <c r="H189" s="121"/>
    </row>
    <row r="190" spans="1:8" ht="15.75">
      <c r="A190" s="1172" t="s">
        <v>227</v>
      </c>
      <c r="B190" s="1172"/>
      <c r="C190" s="1172"/>
      <c r="D190" s="1172"/>
      <c r="E190" s="1172"/>
      <c r="F190" s="1172"/>
      <c r="G190" s="1172"/>
      <c r="H190" s="1172"/>
    </row>
    <row r="191" spans="1:8" ht="15">
      <c r="A191" s="1166" t="s">
        <v>121</v>
      </c>
      <c r="B191" s="1101" t="s">
        <v>5</v>
      </c>
      <c r="C191" s="1101" t="s">
        <v>6</v>
      </c>
      <c r="D191" s="667" t="s">
        <v>7</v>
      </c>
      <c r="E191" s="668" t="s">
        <v>8</v>
      </c>
      <c r="F191" s="669" t="s">
        <v>9</v>
      </c>
      <c r="G191" s="669" t="s">
        <v>10</v>
      </c>
      <c r="H191" s="668" t="s">
        <v>11</v>
      </c>
    </row>
    <row r="192" spans="1:8" ht="15">
      <c r="A192" s="1167"/>
      <c r="B192" s="1102"/>
      <c r="C192" s="1102"/>
      <c r="D192" s="670" t="s">
        <v>12</v>
      </c>
      <c r="E192" s="671" t="s">
        <v>13</v>
      </c>
      <c r="F192" s="672" t="s">
        <v>214</v>
      </c>
      <c r="G192" s="672" t="s">
        <v>214</v>
      </c>
      <c r="H192" s="671" t="s">
        <v>15</v>
      </c>
    </row>
    <row r="193" spans="1:8" ht="15">
      <c r="A193" s="403">
        <v>1</v>
      </c>
      <c r="B193" s="310" t="s">
        <v>123</v>
      </c>
      <c r="C193" s="310"/>
      <c r="D193" s="410"/>
      <c r="E193" s="339">
        <v>114622</v>
      </c>
      <c r="F193" s="310">
        <v>18157700</v>
      </c>
      <c r="G193" s="313">
        <v>2330446</v>
      </c>
      <c r="H193" s="313">
        <v>120</v>
      </c>
    </row>
    <row r="194" spans="1:8" ht="15">
      <c r="A194" s="403">
        <v>2</v>
      </c>
      <c r="B194" s="310" t="s">
        <v>124</v>
      </c>
      <c r="C194" s="310">
        <v>18</v>
      </c>
      <c r="D194" s="505">
        <v>16.75</v>
      </c>
      <c r="E194" s="339">
        <v>30609</v>
      </c>
      <c r="F194" s="310">
        <v>12248100</v>
      </c>
      <c r="G194" s="313">
        <v>1478000</v>
      </c>
      <c r="H194" s="313">
        <v>50</v>
      </c>
    </row>
    <row r="195" spans="1:8" ht="15">
      <c r="A195" s="403">
        <v>3</v>
      </c>
      <c r="B195" s="310" t="s">
        <v>125</v>
      </c>
      <c r="C195" s="310">
        <v>12</v>
      </c>
      <c r="D195" s="410">
        <v>12</v>
      </c>
      <c r="E195" s="339">
        <v>110918</v>
      </c>
      <c r="F195" s="310">
        <v>11091800</v>
      </c>
      <c r="G195" s="313">
        <v>1885619</v>
      </c>
      <c r="H195" s="313">
        <v>50</v>
      </c>
    </row>
    <row r="196" spans="1:8" ht="15">
      <c r="A196" s="403">
        <v>4</v>
      </c>
      <c r="B196" s="310" t="s">
        <v>133</v>
      </c>
      <c r="C196" s="310"/>
      <c r="D196" s="410"/>
      <c r="E196" s="339">
        <v>21951</v>
      </c>
      <c r="F196" s="310">
        <v>16453250</v>
      </c>
      <c r="G196" s="313">
        <v>878059</v>
      </c>
      <c r="H196" s="313">
        <v>100</v>
      </c>
    </row>
    <row r="197" spans="1:8" ht="15">
      <c r="A197" s="403">
        <v>5</v>
      </c>
      <c r="B197" s="310" t="s">
        <v>162</v>
      </c>
      <c r="C197" s="310">
        <v>100</v>
      </c>
      <c r="D197" s="410">
        <v>117.04</v>
      </c>
      <c r="E197" s="339">
        <v>433551</v>
      </c>
      <c r="F197" s="310">
        <v>650326500</v>
      </c>
      <c r="G197" s="313">
        <v>84542658</v>
      </c>
      <c r="H197" s="313">
        <v>1000</v>
      </c>
    </row>
    <row r="198" spans="1:8" ht="15">
      <c r="A198" s="403">
        <v>6</v>
      </c>
      <c r="B198" s="310" t="s">
        <v>128</v>
      </c>
      <c r="C198" s="310"/>
      <c r="D198" s="410"/>
      <c r="E198" s="339"/>
      <c r="F198" s="310"/>
      <c r="G198" s="313">
        <v>13197038</v>
      </c>
      <c r="H198" s="313"/>
    </row>
    <row r="199" spans="1:8" ht="15.75">
      <c r="A199" s="403">
        <v>7</v>
      </c>
      <c r="B199" s="367" t="s">
        <v>41</v>
      </c>
      <c r="C199" s="310"/>
      <c r="D199" s="410"/>
      <c r="E199" s="339"/>
      <c r="F199" s="310"/>
      <c r="G199" s="587">
        <v>32599805</v>
      </c>
      <c r="H199" s="313"/>
    </row>
    <row r="200" spans="1:8" ht="15">
      <c r="A200" s="699"/>
      <c r="B200" s="625" t="s">
        <v>129</v>
      </c>
      <c r="C200" s="680">
        <f aca="true" t="shared" si="13" ref="C200:H200">SUM(C193:C199)</f>
        <v>130</v>
      </c>
      <c r="D200" s="681">
        <f t="shared" si="13"/>
        <v>145.79000000000002</v>
      </c>
      <c r="E200" s="680">
        <f t="shared" si="13"/>
        <v>711651</v>
      </c>
      <c r="F200" s="701">
        <f t="shared" si="13"/>
        <v>708277350</v>
      </c>
      <c r="G200" s="701">
        <f t="shared" si="13"/>
        <v>136911625</v>
      </c>
      <c r="H200" s="703">
        <f t="shared" si="13"/>
        <v>1320</v>
      </c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.75">
      <c r="A202" s="1172" t="s">
        <v>228</v>
      </c>
      <c r="B202" s="1172"/>
      <c r="C202" s="1172"/>
      <c r="D202" s="1172"/>
      <c r="E202" s="1172"/>
      <c r="F202" s="1172"/>
      <c r="G202" s="1172"/>
      <c r="H202" s="1172"/>
    </row>
    <row r="203" spans="1:8" ht="15">
      <c r="A203" s="1166" t="s">
        <v>121</v>
      </c>
      <c r="B203" s="1101" t="s">
        <v>5</v>
      </c>
      <c r="C203" s="1101" t="s">
        <v>6</v>
      </c>
      <c r="D203" s="667" t="s">
        <v>7</v>
      </c>
      <c r="E203" s="668" t="s">
        <v>8</v>
      </c>
      <c r="F203" s="669" t="s">
        <v>9</v>
      </c>
      <c r="G203" s="669" t="s">
        <v>10</v>
      </c>
      <c r="H203" s="668" t="s">
        <v>11</v>
      </c>
    </row>
    <row r="204" spans="1:8" ht="15">
      <c r="A204" s="1167"/>
      <c r="B204" s="1102"/>
      <c r="C204" s="1102"/>
      <c r="D204" s="670" t="s">
        <v>12</v>
      </c>
      <c r="E204" s="671" t="s">
        <v>13</v>
      </c>
      <c r="F204" s="672" t="s">
        <v>214</v>
      </c>
      <c r="G204" s="672" t="s">
        <v>214</v>
      </c>
      <c r="H204" s="671" t="s">
        <v>15</v>
      </c>
    </row>
    <row r="205" spans="1:8" ht="15">
      <c r="A205" s="110">
        <v>1</v>
      </c>
      <c r="B205" s="23" t="s">
        <v>135</v>
      </c>
      <c r="C205" s="406"/>
      <c r="D205" s="407"/>
      <c r="E205" s="316">
        <v>4045125</v>
      </c>
      <c r="F205" s="317">
        <v>3458581875</v>
      </c>
      <c r="G205" s="318">
        <v>83778000</v>
      </c>
      <c r="H205" s="22">
        <v>2680</v>
      </c>
    </row>
    <row r="206" spans="1:8" ht="15">
      <c r="A206" s="110">
        <v>2</v>
      </c>
      <c r="B206" s="23" t="s">
        <v>184</v>
      </c>
      <c r="C206" s="317"/>
      <c r="D206" s="320"/>
      <c r="E206" s="316"/>
      <c r="F206" s="317"/>
      <c r="G206" s="318"/>
      <c r="H206" s="22"/>
    </row>
    <row r="207" spans="1:8" ht="15.75">
      <c r="A207" s="111">
        <v>3</v>
      </c>
      <c r="B207" s="23" t="s">
        <v>128</v>
      </c>
      <c r="C207" s="334"/>
      <c r="D207" s="335"/>
      <c r="E207" s="335"/>
      <c r="F207" s="336"/>
      <c r="G207" s="318">
        <v>2130000</v>
      </c>
      <c r="H207" s="175"/>
    </row>
    <row r="208" spans="1:8" ht="15">
      <c r="A208" s="111">
        <v>4</v>
      </c>
      <c r="B208" s="23" t="s">
        <v>41</v>
      </c>
      <c r="C208" s="317"/>
      <c r="D208" s="320"/>
      <c r="E208" s="316"/>
      <c r="F208" s="317"/>
      <c r="G208" s="318">
        <v>2331000</v>
      </c>
      <c r="H208" s="22"/>
    </row>
    <row r="209" spans="1:8" ht="15.75">
      <c r="A209" s="716"/>
      <c r="B209" s="717" t="s">
        <v>129</v>
      </c>
      <c r="C209" s="718">
        <f aca="true" t="shared" si="14" ref="C209:H209">SUM(C204:C208)</f>
        <v>0</v>
      </c>
      <c r="D209" s="718">
        <f t="shared" si="14"/>
        <v>0</v>
      </c>
      <c r="E209" s="718">
        <f t="shared" si="14"/>
        <v>4045125</v>
      </c>
      <c r="F209" s="718">
        <f t="shared" si="14"/>
        <v>3458581875</v>
      </c>
      <c r="G209" s="718">
        <f t="shared" si="14"/>
        <v>88239000</v>
      </c>
      <c r="H209" s="718">
        <f t="shared" si="14"/>
        <v>2680</v>
      </c>
    </row>
    <row r="210" spans="1:8" ht="15">
      <c r="A210" s="1170"/>
      <c r="B210" s="1170"/>
      <c r="C210" s="267"/>
      <c r="D210" s="268"/>
      <c r="E210" s="269"/>
      <c r="F210" s="270"/>
      <c r="G210" s="270"/>
      <c r="H210" s="270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.75">
      <c r="A212" s="1172" t="s">
        <v>229</v>
      </c>
      <c r="B212" s="1172"/>
      <c r="C212" s="1172"/>
      <c r="D212" s="1172"/>
      <c r="E212" s="1172"/>
      <c r="F212" s="1172"/>
      <c r="G212" s="1172"/>
      <c r="H212" s="1172"/>
    </row>
    <row r="213" spans="1:8" ht="15">
      <c r="A213" s="1166" t="s">
        <v>121</v>
      </c>
      <c r="B213" s="1101" t="s">
        <v>5</v>
      </c>
      <c r="C213" s="1101" t="s">
        <v>6</v>
      </c>
      <c r="D213" s="667" t="s">
        <v>7</v>
      </c>
      <c r="E213" s="668" t="s">
        <v>8</v>
      </c>
      <c r="F213" s="669" t="s">
        <v>9</v>
      </c>
      <c r="G213" s="669" t="s">
        <v>10</v>
      </c>
      <c r="H213" s="668" t="s">
        <v>11</v>
      </c>
    </row>
    <row r="214" spans="1:8" ht="15">
      <c r="A214" s="1167"/>
      <c r="B214" s="1102"/>
      <c r="C214" s="1102"/>
      <c r="D214" s="670" t="s">
        <v>12</v>
      </c>
      <c r="E214" s="671" t="s">
        <v>13</v>
      </c>
      <c r="F214" s="672" t="s">
        <v>214</v>
      </c>
      <c r="G214" s="672" t="s">
        <v>214</v>
      </c>
      <c r="H214" s="671" t="s">
        <v>15</v>
      </c>
    </row>
    <row r="215" spans="1:8" ht="15">
      <c r="A215" s="190">
        <v>1</v>
      </c>
      <c r="B215" s="23" t="s">
        <v>124</v>
      </c>
      <c r="C215" s="23">
        <v>69</v>
      </c>
      <c r="D215" s="42">
        <v>241.29</v>
      </c>
      <c r="E215" s="43">
        <v>87741</v>
      </c>
      <c r="F215" s="23">
        <v>56932800</v>
      </c>
      <c r="G215" s="22">
        <v>14477000</v>
      </c>
      <c r="H215" s="22">
        <v>165</v>
      </c>
    </row>
    <row r="216" spans="1:8" ht="15">
      <c r="A216" s="190">
        <v>2</v>
      </c>
      <c r="B216" s="23" t="s">
        <v>122</v>
      </c>
      <c r="C216" s="23">
        <v>116</v>
      </c>
      <c r="D216" s="42">
        <v>315.52</v>
      </c>
      <c r="E216" s="43">
        <v>304730</v>
      </c>
      <c r="F216" s="23">
        <v>980785000</v>
      </c>
      <c r="G216" s="22">
        <v>50040000</v>
      </c>
      <c r="H216" s="22">
        <v>560</v>
      </c>
    </row>
    <row r="217" spans="1:8" ht="15">
      <c r="A217" s="190">
        <v>3</v>
      </c>
      <c r="B217" s="23" t="s">
        <v>157</v>
      </c>
      <c r="C217" s="23">
        <v>445</v>
      </c>
      <c r="D217" s="42">
        <v>445</v>
      </c>
      <c r="E217" s="43">
        <v>280033</v>
      </c>
      <c r="F217" s="23">
        <v>112013200</v>
      </c>
      <c r="G217" s="22">
        <v>33604000</v>
      </c>
      <c r="H217" s="22">
        <v>2630</v>
      </c>
    </row>
    <row r="218" spans="1:8" ht="15">
      <c r="A218" s="190">
        <v>4</v>
      </c>
      <c r="B218" s="23" t="s">
        <v>125</v>
      </c>
      <c r="C218" s="23">
        <v>37</v>
      </c>
      <c r="D218" s="42">
        <v>40</v>
      </c>
      <c r="E218" s="43">
        <v>595587</v>
      </c>
      <c r="F218" s="23">
        <v>23823480</v>
      </c>
      <c r="G218" s="22">
        <v>10108000</v>
      </c>
      <c r="H218" s="22">
        <v>110</v>
      </c>
    </row>
    <row r="219" spans="1:8" ht="15">
      <c r="A219" s="190">
        <v>5</v>
      </c>
      <c r="B219" s="23" t="s">
        <v>139</v>
      </c>
      <c r="C219" s="23"/>
      <c r="D219" s="42"/>
      <c r="E219" s="43">
        <v>483777</v>
      </c>
      <c r="F219" s="23">
        <v>24188850</v>
      </c>
      <c r="G219" s="22">
        <v>8708000</v>
      </c>
      <c r="H219" s="22"/>
    </row>
    <row r="220" spans="1:8" ht="15">
      <c r="A220" s="190">
        <v>6</v>
      </c>
      <c r="B220" s="23" t="s">
        <v>123</v>
      </c>
      <c r="C220" s="23"/>
      <c r="D220" s="42"/>
      <c r="E220" s="43">
        <v>369500</v>
      </c>
      <c r="F220" s="20">
        <v>36950000</v>
      </c>
      <c r="G220" s="22">
        <v>6710000</v>
      </c>
      <c r="H220" s="22"/>
    </row>
    <row r="221" spans="1:8" ht="15">
      <c r="A221" s="190">
        <v>7</v>
      </c>
      <c r="B221" s="23" t="s">
        <v>135</v>
      </c>
      <c r="C221" s="23"/>
      <c r="D221" s="42"/>
      <c r="E221" s="43">
        <v>30550</v>
      </c>
      <c r="F221" s="23">
        <v>12220000</v>
      </c>
      <c r="G221" s="22">
        <v>595000</v>
      </c>
      <c r="H221" s="22"/>
    </row>
    <row r="222" spans="1:8" ht="15">
      <c r="A222" s="190">
        <v>8</v>
      </c>
      <c r="B222" s="23" t="s">
        <v>128</v>
      </c>
      <c r="C222" s="23"/>
      <c r="D222" s="42"/>
      <c r="E222" s="43"/>
      <c r="F222" s="23"/>
      <c r="G222" s="22">
        <v>19658000</v>
      </c>
      <c r="H222" s="22"/>
    </row>
    <row r="223" spans="1:8" ht="15.75">
      <c r="A223" s="190">
        <v>9</v>
      </c>
      <c r="B223" s="16" t="s">
        <v>41</v>
      </c>
      <c r="C223" s="23"/>
      <c r="D223" s="42"/>
      <c r="E223" s="43"/>
      <c r="F223" s="23"/>
      <c r="G223" s="22">
        <v>11424252</v>
      </c>
      <c r="H223" s="22"/>
    </row>
    <row r="224" spans="1:8" ht="15.75">
      <c r="A224" s="711"/>
      <c r="B224" s="712" t="s">
        <v>129</v>
      </c>
      <c r="C224" s="713">
        <f aca="true" t="shared" si="15" ref="C224:H224">SUM(C215:C223)</f>
        <v>667</v>
      </c>
      <c r="D224" s="714">
        <f t="shared" si="15"/>
        <v>1041.81</v>
      </c>
      <c r="E224" s="715">
        <f t="shared" si="15"/>
        <v>2151918</v>
      </c>
      <c r="F224" s="621">
        <f t="shared" si="15"/>
        <v>1246913330</v>
      </c>
      <c r="G224" s="629">
        <f t="shared" si="15"/>
        <v>155324252</v>
      </c>
      <c r="H224" s="629">
        <f t="shared" si="15"/>
        <v>3465</v>
      </c>
    </row>
    <row r="225" spans="1:8" ht="15.75">
      <c r="A225" s="271"/>
      <c r="B225" s="119"/>
      <c r="C225" s="397"/>
      <c r="D225" s="609"/>
      <c r="E225" s="610"/>
      <c r="F225" s="397"/>
      <c r="G225" s="398"/>
      <c r="H225" s="398"/>
    </row>
    <row r="226" spans="1:8" ht="15.75">
      <c r="A226" s="1176" t="s">
        <v>230</v>
      </c>
      <c r="B226" s="1176"/>
      <c r="C226" s="1176"/>
      <c r="D226" s="1176"/>
      <c r="E226" s="1176"/>
      <c r="F226" s="1176"/>
      <c r="G226" s="1176"/>
      <c r="H226" s="1176"/>
    </row>
    <row r="227" spans="1:8" ht="15">
      <c r="A227" s="1166" t="s">
        <v>121</v>
      </c>
      <c r="B227" s="1101" t="s">
        <v>5</v>
      </c>
      <c r="C227" s="1101" t="s">
        <v>6</v>
      </c>
      <c r="D227" s="667" t="s">
        <v>7</v>
      </c>
      <c r="E227" s="668" t="s">
        <v>8</v>
      </c>
      <c r="F227" s="669" t="s">
        <v>9</v>
      </c>
      <c r="G227" s="669" t="s">
        <v>10</v>
      </c>
      <c r="H227" s="668" t="s">
        <v>11</v>
      </c>
    </row>
    <row r="228" spans="1:8" ht="15">
      <c r="A228" s="1167"/>
      <c r="B228" s="1102"/>
      <c r="C228" s="1102"/>
      <c r="D228" s="670" t="s">
        <v>12</v>
      </c>
      <c r="E228" s="671" t="s">
        <v>13</v>
      </c>
      <c r="F228" s="672" t="s">
        <v>214</v>
      </c>
      <c r="G228" s="672" t="s">
        <v>214</v>
      </c>
      <c r="H228" s="671" t="s">
        <v>15</v>
      </c>
    </row>
    <row r="229" spans="1:8" ht="15">
      <c r="A229" s="403">
        <v>1</v>
      </c>
      <c r="B229" s="310" t="s">
        <v>135</v>
      </c>
      <c r="C229" s="310"/>
      <c r="D229" s="310"/>
      <c r="E229" s="339">
        <v>4191500</v>
      </c>
      <c r="F229" s="310">
        <v>2417750000</v>
      </c>
      <c r="G229" s="313">
        <v>66296000</v>
      </c>
      <c r="H229" s="313">
        <v>5000</v>
      </c>
    </row>
    <row r="230" spans="1:8" ht="15">
      <c r="A230" s="403">
        <v>2</v>
      </c>
      <c r="B230" s="310" t="s">
        <v>122</v>
      </c>
      <c r="C230" s="310">
        <v>5</v>
      </c>
      <c r="D230" s="310">
        <v>10.632</v>
      </c>
      <c r="E230" s="339"/>
      <c r="F230" s="310"/>
      <c r="G230" s="313">
        <v>333000</v>
      </c>
      <c r="H230" s="313">
        <v>4</v>
      </c>
    </row>
    <row r="231" spans="1:8" ht="15">
      <c r="A231" s="403">
        <v>3</v>
      </c>
      <c r="B231" s="310" t="s">
        <v>123</v>
      </c>
      <c r="C231" s="310"/>
      <c r="D231" s="310"/>
      <c r="E231" s="339">
        <v>16433600</v>
      </c>
      <c r="F231" s="310">
        <v>1628610000</v>
      </c>
      <c r="G231" s="313">
        <v>164274000</v>
      </c>
      <c r="H231" s="313">
        <v>1500</v>
      </c>
    </row>
    <row r="232" spans="1:8" ht="15">
      <c r="A232" s="403">
        <v>4</v>
      </c>
      <c r="B232" s="310" t="s">
        <v>137</v>
      </c>
      <c r="C232" s="310">
        <v>12</v>
      </c>
      <c r="D232" s="310">
        <v>403.2168</v>
      </c>
      <c r="E232" s="339">
        <v>112038.45999999999</v>
      </c>
      <c r="F232" s="310">
        <v>24979569</v>
      </c>
      <c r="G232" s="313">
        <v>4707000</v>
      </c>
      <c r="H232" s="313">
        <v>270</v>
      </c>
    </row>
    <row r="233" spans="1:8" ht="15">
      <c r="A233" s="403">
        <v>5</v>
      </c>
      <c r="B233" s="310" t="s">
        <v>124</v>
      </c>
      <c r="C233" s="310">
        <v>36</v>
      </c>
      <c r="D233" s="310">
        <v>51.6552</v>
      </c>
      <c r="E233" s="339">
        <v>357571</v>
      </c>
      <c r="F233" s="310">
        <v>220753900</v>
      </c>
      <c r="G233" s="313">
        <v>53307000</v>
      </c>
      <c r="H233" s="313">
        <v>960</v>
      </c>
    </row>
    <row r="234" spans="1:8" ht="15">
      <c r="A234" s="403">
        <v>6</v>
      </c>
      <c r="B234" s="310" t="s">
        <v>125</v>
      </c>
      <c r="C234" s="310">
        <v>1003</v>
      </c>
      <c r="D234" s="310">
        <v>991.98</v>
      </c>
      <c r="E234" s="339">
        <v>17185020</v>
      </c>
      <c r="F234" s="504">
        <v>1064854476</v>
      </c>
      <c r="G234" s="313">
        <v>338137000</v>
      </c>
      <c r="H234" s="313">
        <v>8400</v>
      </c>
    </row>
    <row r="235" spans="1:8" ht="15">
      <c r="A235" s="403">
        <v>7</v>
      </c>
      <c r="B235" s="310" t="s">
        <v>128</v>
      </c>
      <c r="C235" s="310"/>
      <c r="D235" s="310"/>
      <c r="E235" s="339"/>
      <c r="F235" s="310"/>
      <c r="G235" s="313">
        <v>83290000</v>
      </c>
      <c r="H235" s="313"/>
    </row>
    <row r="236" spans="1:8" ht="15">
      <c r="A236" s="403">
        <v>8</v>
      </c>
      <c r="B236" s="310" t="s">
        <v>41</v>
      </c>
      <c r="C236" s="310"/>
      <c r="D236" s="310"/>
      <c r="E236" s="339"/>
      <c r="F236" s="310"/>
      <c r="G236" s="313">
        <v>68845000</v>
      </c>
      <c r="H236" s="313"/>
    </row>
    <row r="237" spans="1:8" ht="15.75">
      <c r="A237" s="689"/>
      <c r="B237" s="697" t="s">
        <v>129</v>
      </c>
      <c r="C237" s="709">
        <f aca="true" t="shared" si="16" ref="C237:H237">SUM(C229:C236)</f>
        <v>1056</v>
      </c>
      <c r="D237" s="697">
        <f t="shared" si="16"/>
        <v>1457.484</v>
      </c>
      <c r="E237" s="709">
        <f t="shared" si="16"/>
        <v>38279729.46</v>
      </c>
      <c r="F237" s="709">
        <f t="shared" si="16"/>
        <v>5356947945</v>
      </c>
      <c r="G237" s="709">
        <f t="shared" si="16"/>
        <v>779189000</v>
      </c>
      <c r="H237" s="710">
        <f t="shared" si="16"/>
        <v>16134</v>
      </c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.75">
      <c r="A239" s="1172" t="s">
        <v>231</v>
      </c>
      <c r="B239" s="1172"/>
      <c r="C239" s="1172"/>
      <c r="D239" s="1172"/>
      <c r="E239" s="1172"/>
      <c r="F239" s="1172"/>
      <c r="G239" s="1172"/>
      <c r="H239" s="1172"/>
    </row>
    <row r="240" spans="1:8" ht="15">
      <c r="A240" s="1166" t="s">
        <v>121</v>
      </c>
      <c r="B240" s="1101" t="s">
        <v>5</v>
      </c>
      <c r="C240" s="1101" t="s">
        <v>6</v>
      </c>
      <c r="D240" s="667" t="s">
        <v>7</v>
      </c>
      <c r="E240" s="668" t="s">
        <v>8</v>
      </c>
      <c r="F240" s="669" t="s">
        <v>9</v>
      </c>
      <c r="G240" s="669" t="s">
        <v>10</v>
      </c>
      <c r="H240" s="668" t="s">
        <v>11</v>
      </c>
    </row>
    <row r="241" spans="1:8" ht="15">
      <c r="A241" s="1167"/>
      <c r="B241" s="1102"/>
      <c r="C241" s="1102"/>
      <c r="D241" s="670" t="s">
        <v>12</v>
      </c>
      <c r="E241" s="671" t="s">
        <v>13</v>
      </c>
      <c r="F241" s="672" t="s">
        <v>214</v>
      </c>
      <c r="G241" s="672" t="s">
        <v>214</v>
      </c>
      <c r="H241" s="671" t="s">
        <v>15</v>
      </c>
    </row>
    <row r="242" spans="1:8" ht="15">
      <c r="A242" s="190">
        <v>1</v>
      </c>
      <c r="B242" s="23" t="s">
        <v>122</v>
      </c>
      <c r="C242" s="23">
        <v>341</v>
      </c>
      <c r="D242" s="42">
        <v>675.66</v>
      </c>
      <c r="E242" s="293">
        <v>1979344</v>
      </c>
      <c r="F242" s="291">
        <v>2969016000</v>
      </c>
      <c r="G242" s="291">
        <v>115414000</v>
      </c>
      <c r="H242" s="22">
        <v>2451</v>
      </c>
    </row>
    <row r="243" spans="1:8" ht="15">
      <c r="A243" s="111">
        <v>2</v>
      </c>
      <c r="B243" s="23" t="s">
        <v>123</v>
      </c>
      <c r="C243" s="23"/>
      <c r="D243" s="42"/>
      <c r="E243" s="293">
        <v>48431600</v>
      </c>
      <c r="F243" s="292">
        <v>484316000</v>
      </c>
      <c r="G243" s="291">
        <v>48431600</v>
      </c>
      <c r="H243" s="22">
        <v>1600</v>
      </c>
    </row>
    <row r="244" spans="1:8" ht="15">
      <c r="A244" s="190">
        <v>3</v>
      </c>
      <c r="B244" s="23" t="s">
        <v>125</v>
      </c>
      <c r="C244" s="23">
        <v>248</v>
      </c>
      <c r="D244" s="42">
        <v>249.43</v>
      </c>
      <c r="E244" s="293">
        <v>270358</v>
      </c>
      <c r="F244" s="292">
        <v>108143200</v>
      </c>
      <c r="G244" s="291">
        <v>51223000</v>
      </c>
      <c r="H244" s="22">
        <v>1358</v>
      </c>
    </row>
    <row r="245" spans="1:8" ht="15">
      <c r="A245" s="111">
        <v>4</v>
      </c>
      <c r="B245" s="23" t="s">
        <v>166</v>
      </c>
      <c r="C245" s="23"/>
      <c r="D245" s="42"/>
      <c r="E245" s="293"/>
      <c r="F245" s="292"/>
      <c r="G245" s="291"/>
      <c r="H245" s="22"/>
    </row>
    <row r="246" spans="1:8" ht="15">
      <c r="A246" s="111">
        <v>5</v>
      </c>
      <c r="B246" s="23" t="s">
        <v>128</v>
      </c>
      <c r="C246" s="23"/>
      <c r="D246" s="42"/>
      <c r="E246" s="341"/>
      <c r="F246" s="380"/>
      <c r="G246" s="382">
        <v>27746000</v>
      </c>
      <c r="H246" s="22"/>
    </row>
    <row r="247" spans="1:8" ht="15">
      <c r="A247" s="111">
        <v>6</v>
      </c>
      <c r="B247" s="23" t="s">
        <v>41</v>
      </c>
      <c r="C247" s="23"/>
      <c r="D247" s="42"/>
      <c r="E247" s="341"/>
      <c r="F247" s="380"/>
      <c r="G247" s="382">
        <v>73340400</v>
      </c>
      <c r="H247" s="22"/>
    </row>
    <row r="248" spans="1:8" ht="15">
      <c r="A248" s="699"/>
      <c r="B248" s="625" t="s">
        <v>129</v>
      </c>
      <c r="C248" s="680">
        <f aca="true" t="shared" si="17" ref="C248:H248">SUM(C242:C247)</f>
        <v>589</v>
      </c>
      <c r="D248" s="681">
        <f t="shared" si="17"/>
        <v>925.0899999999999</v>
      </c>
      <c r="E248" s="680">
        <f t="shared" si="17"/>
        <v>50681302</v>
      </c>
      <c r="F248" s="701">
        <f t="shared" si="17"/>
        <v>3561475200</v>
      </c>
      <c r="G248" s="701">
        <f t="shared" si="17"/>
        <v>316155000</v>
      </c>
      <c r="H248" s="703">
        <f t="shared" si="17"/>
        <v>5409</v>
      </c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8.75" customHeight="1">
      <c r="A250" s="1172" t="s">
        <v>232</v>
      </c>
      <c r="B250" s="1172"/>
      <c r="C250" s="1172"/>
      <c r="D250" s="1172"/>
      <c r="E250" s="1172"/>
      <c r="F250" s="1172"/>
      <c r="G250" s="1172"/>
      <c r="H250" s="1172"/>
    </row>
    <row r="251" spans="1:8" ht="15">
      <c r="A251" s="1166" t="s">
        <v>121</v>
      </c>
      <c r="B251" s="1101" t="s">
        <v>5</v>
      </c>
      <c r="C251" s="1101" t="s">
        <v>6</v>
      </c>
      <c r="D251" s="667" t="s">
        <v>7</v>
      </c>
      <c r="E251" s="668" t="s">
        <v>8</v>
      </c>
      <c r="F251" s="669" t="s">
        <v>9</v>
      </c>
      <c r="G251" s="669" t="s">
        <v>10</v>
      </c>
      <c r="H251" s="668" t="s">
        <v>11</v>
      </c>
    </row>
    <row r="252" spans="1:8" ht="15">
      <c r="A252" s="1167"/>
      <c r="B252" s="1102"/>
      <c r="C252" s="1102"/>
      <c r="D252" s="670" t="s">
        <v>12</v>
      </c>
      <c r="E252" s="671" t="s">
        <v>13</v>
      </c>
      <c r="F252" s="672" t="s">
        <v>214</v>
      </c>
      <c r="G252" s="672" t="s">
        <v>214</v>
      </c>
      <c r="H252" s="671" t="s">
        <v>15</v>
      </c>
    </row>
    <row r="253" spans="1:8" ht="15">
      <c r="A253" s="110">
        <v>1</v>
      </c>
      <c r="B253" s="23" t="s">
        <v>140</v>
      </c>
      <c r="C253" s="314">
        <v>51</v>
      </c>
      <c r="D253" s="315">
        <v>85.69</v>
      </c>
      <c r="E253" s="316">
        <v>22251</v>
      </c>
      <c r="F253" s="317">
        <v>17800800</v>
      </c>
      <c r="G253" s="318">
        <v>4586972</v>
      </c>
      <c r="H253" s="319">
        <v>190</v>
      </c>
    </row>
    <row r="254" spans="1:8" ht="15">
      <c r="A254" s="110">
        <v>2</v>
      </c>
      <c r="B254" s="23" t="s">
        <v>125</v>
      </c>
      <c r="C254" s="317">
        <v>17</v>
      </c>
      <c r="D254" s="320">
        <v>17.5</v>
      </c>
      <c r="E254" s="316">
        <v>1125407</v>
      </c>
      <c r="F254" s="317">
        <v>281351750</v>
      </c>
      <c r="G254" s="318">
        <v>25559625</v>
      </c>
      <c r="H254" s="319">
        <v>1300</v>
      </c>
    </row>
    <row r="255" spans="1:8" ht="15">
      <c r="A255" s="110">
        <v>3</v>
      </c>
      <c r="B255" s="23" t="s">
        <v>164</v>
      </c>
      <c r="C255" s="317">
        <v>4</v>
      </c>
      <c r="D255" s="320">
        <v>4.01</v>
      </c>
      <c r="E255" s="316">
        <v>10160</v>
      </c>
      <c r="F255" s="317">
        <v>8128000</v>
      </c>
      <c r="G255" s="318">
        <v>851170</v>
      </c>
      <c r="H255" s="319">
        <v>14</v>
      </c>
    </row>
    <row r="256" spans="1:8" ht="15">
      <c r="A256" s="110">
        <v>4</v>
      </c>
      <c r="B256" s="23" t="s">
        <v>165</v>
      </c>
      <c r="C256" s="314">
        <v>61</v>
      </c>
      <c r="D256" s="315">
        <v>259.31</v>
      </c>
      <c r="E256" s="316">
        <v>1759296</v>
      </c>
      <c r="F256" s="317">
        <v>1583366400</v>
      </c>
      <c r="G256" s="318">
        <v>9031161</v>
      </c>
      <c r="H256" s="319">
        <v>1795</v>
      </c>
    </row>
    <row r="257" spans="1:8" ht="15">
      <c r="A257" s="110">
        <v>5</v>
      </c>
      <c r="B257" s="23" t="s">
        <v>137</v>
      </c>
      <c r="C257" s="314">
        <v>1</v>
      </c>
      <c r="D257" s="315">
        <v>1</v>
      </c>
      <c r="E257" s="316"/>
      <c r="F257" s="317"/>
      <c r="G257" s="318"/>
      <c r="H257" s="319"/>
    </row>
    <row r="258" spans="1:8" ht="15">
      <c r="A258" s="110">
        <v>6</v>
      </c>
      <c r="B258" s="23" t="s">
        <v>123</v>
      </c>
      <c r="C258" s="314"/>
      <c r="D258" s="315"/>
      <c r="E258" s="316">
        <v>1022700</v>
      </c>
      <c r="F258" s="317">
        <v>255675000</v>
      </c>
      <c r="G258" s="318">
        <v>17919693</v>
      </c>
      <c r="H258" s="319">
        <v>400</v>
      </c>
    </row>
    <row r="259" spans="1:8" ht="15">
      <c r="A259" s="110">
        <v>7</v>
      </c>
      <c r="B259" s="23" t="s">
        <v>355</v>
      </c>
      <c r="C259" s="317"/>
      <c r="D259" s="320"/>
      <c r="E259" s="555">
        <v>1622679</v>
      </c>
      <c r="F259" s="553">
        <v>84378325</v>
      </c>
      <c r="G259" s="318">
        <v>8096528</v>
      </c>
      <c r="H259" s="319">
        <v>400</v>
      </c>
    </row>
    <row r="260" spans="1:8" ht="15">
      <c r="A260" s="110">
        <v>8</v>
      </c>
      <c r="B260" s="23" t="s">
        <v>128</v>
      </c>
      <c r="C260" s="314"/>
      <c r="D260" s="315"/>
      <c r="E260" s="316"/>
      <c r="F260" s="317"/>
      <c r="G260" s="318">
        <v>26202822</v>
      </c>
      <c r="H260" s="319"/>
    </row>
    <row r="261" spans="1:8" ht="15.75">
      <c r="A261" s="110">
        <v>9</v>
      </c>
      <c r="B261" s="16" t="s">
        <v>41</v>
      </c>
      <c r="C261" s="317"/>
      <c r="D261" s="320"/>
      <c r="E261" s="316"/>
      <c r="F261" s="317"/>
      <c r="G261" s="318">
        <v>10291933</v>
      </c>
      <c r="H261" s="319"/>
    </row>
    <row r="262" spans="1:8" ht="15">
      <c r="A262" s="708"/>
      <c r="B262" s="623" t="s">
        <v>129</v>
      </c>
      <c r="C262" s="620">
        <f>SUM(C253:C260)</f>
        <v>134</v>
      </c>
      <c r="D262" s="620">
        <f>SUM(D253:D260)</f>
        <v>367.51</v>
      </c>
      <c r="E262" s="620">
        <f>SUM(E253:E260)</f>
        <v>5562493</v>
      </c>
      <c r="F262" s="620">
        <f>SUM(F253:F260)</f>
        <v>2230700275</v>
      </c>
      <c r="G262" s="620">
        <f>SUM(G253:G261)</f>
        <v>102539904</v>
      </c>
      <c r="H262" s="620">
        <f>SUM(H253:H260)</f>
        <v>4099</v>
      </c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8.75" customHeight="1">
      <c r="A265" s="1172" t="s">
        <v>233</v>
      </c>
      <c r="B265" s="1172"/>
      <c r="C265" s="1172"/>
      <c r="D265" s="1172"/>
      <c r="E265" s="1172"/>
      <c r="F265" s="1172"/>
      <c r="G265" s="1172"/>
      <c r="H265" s="1172"/>
    </row>
    <row r="266" spans="1:8" ht="15">
      <c r="A266" s="1166" t="s">
        <v>121</v>
      </c>
      <c r="B266" s="1101" t="s">
        <v>5</v>
      </c>
      <c r="C266" s="1101" t="s">
        <v>6</v>
      </c>
      <c r="D266" s="667" t="s">
        <v>7</v>
      </c>
      <c r="E266" s="668" t="s">
        <v>8</v>
      </c>
      <c r="F266" s="669" t="s">
        <v>9</v>
      </c>
      <c r="G266" s="669" t="s">
        <v>10</v>
      </c>
      <c r="H266" s="668" t="s">
        <v>11</v>
      </c>
    </row>
    <row r="267" spans="1:8" ht="15">
      <c r="A267" s="1167"/>
      <c r="B267" s="1102"/>
      <c r="C267" s="1102"/>
      <c r="D267" s="670" t="s">
        <v>12</v>
      </c>
      <c r="E267" s="671" t="s">
        <v>13</v>
      </c>
      <c r="F267" s="672" t="s">
        <v>214</v>
      </c>
      <c r="G267" s="672" t="s">
        <v>214</v>
      </c>
      <c r="H267" s="671" t="s">
        <v>15</v>
      </c>
    </row>
    <row r="268" spans="1:8" ht="15">
      <c r="A268" s="110">
        <v>1</v>
      </c>
      <c r="B268" s="23" t="s">
        <v>178</v>
      </c>
      <c r="C268" s="23">
        <v>1</v>
      </c>
      <c r="D268" s="42">
        <v>1</v>
      </c>
      <c r="E268" s="43"/>
      <c r="F268" s="46"/>
      <c r="G268" s="61">
        <v>25000</v>
      </c>
      <c r="H268" s="22"/>
    </row>
    <row r="269" spans="1:8" ht="15">
      <c r="A269" s="110">
        <v>2</v>
      </c>
      <c r="B269" s="23" t="s">
        <v>137</v>
      </c>
      <c r="C269" s="23">
        <v>5</v>
      </c>
      <c r="D269" s="42">
        <v>16.673999999999978</v>
      </c>
      <c r="E269" s="43">
        <v>19899</v>
      </c>
      <c r="F269" s="46">
        <v>3169125</v>
      </c>
      <c r="G269" s="61">
        <v>2057000</v>
      </c>
      <c r="H269" s="22">
        <v>20</v>
      </c>
    </row>
    <row r="270" spans="1:8" ht="15">
      <c r="A270" s="110">
        <v>3</v>
      </c>
      <c r="B270" s="23" t="s">
        <v>124</v>
      </c>
      <c r="C270" s="23">
        <v>9</v>
      </c>
      <c r="D270" s="42">
        <v>20.47980000000001</v>
      </c>
      <c r="E270" s="43">
        <v>37200</v>
      </c>
      <c r="F270" s="22">
        <v>33480000</v>
      </c>
      <c r="G270" s="61">
        <v>8055000</v>
      </c>
      <c r="H270" s="22">
        <v>10</v>
      </c>
    </row>
    <row r="271" spans="1:8" ht="15">
      <c r="A271" s="110">
        <v>4</v>
      </c>
      <c r="B271" s="23" t="s">
        <v>122</v>
      </c>
      <c r="C271" s="23">
        <v>20</v>
      </c>
      <c r="D271" s="42">
        <v>20.673</v>
      </c>
      <c r="E271" s="43">
        <v>7027</v>
      </c>
      <c r="F271" s="22">
        <v>6324300</v>
      </c>
      <c r="G271" s="61">
        <v>4865000</v>
      </c>
      <c r="H271" s="22">
        <v>25</v>
      </c>
    </row>
    <row r="272" spans="1:8" ht="15">
      <c r="A272" s="110">
        <v>5</v>
      </c>
      <c r="B272" s="23" t="s">
        <v>131</v>
      </c>
      <c r="C272" s="23">
        <v>11</v>
      </c>
      <c r="D272" s="42">
        <v>11.079999999999998</v>
      </c>
      <c r="E272" s="43"/>
      <c r="F272" s="22"/>
      <c r="G272" s="61">
        <v>435000</v>
      </c>
      <c r="H272" s="22">
        <v>6</v>
      </c>
    </row>
    <row r="273" spans="1:8" ht="15">
      <c r="A273" s="110">
        <v>6</v>
      </c>
      <c r="B273" s="23" t="s">
        <v>125</v>
      </c>
      <c r="C273" s="23">
        <v>402</v>
      </c>
      <c r="D273" s="42">
        <v>402</v>
      </c>
      <c r="E273" s="43">
        <v>1187275</v>
      </c>
      <c r="F273" s="22">
        <v>207773125</v>
      </c>
      <c r="G273" s="61">
        <v>261222000</v>
      </c>
      <c r="H273" s="22">
        <v>1050</v>
      </c>
    </row>
    <row r="274" spans="1:8" ht="15">
      <c r="A274" s="110">
        <v>7</v>
      </c>
      <c r="B274" s="23" t="s">
        <v>123</v>
      </c>
      <c r="C274" s="23"/>
      <c r="D274" s="42"/>
      <c r="E274" s="375">
        <v>5494150</v>
      </c>
      <c r="F274" s="375">
        <v>1098830000</v>
      </c>
      <c r="G274" s="61">
        <v>106760000</v>
      </c>
      <c r="H274" s="22"/>
    </row>
    <row r="275" spans="1:8" ht="15">
      <c r="A275" s="110">
        <v>8</v>
      </c>
      <c r="B275" s="23" t="s">
        <v>135</v>
      </c>
      <c r="C275" s="23"/>
      <c r="D275" s="42"/>
      <c r="E275" s="43"/>
      <c r="F275" s="22"/>
      <c r="G275" s="61">
        <v>12747000</v>
      </c>
      <c r="H275" s="22"/>
    </row>
    <row r="276" spans="1:8" ht="15">
      <c r="A276" s="110">
        <v>9</v>
      </c>
      <c r="B276" s="23" t="s">
        <v>128</v>
      </c>
      <c r="C276" s="23"/>
      <c r="D276" s="42"/>
      <c r="E276" s="43"/>
      <c r="F276" s="23"/>
      <c r="G276" s="61"/>
      <c r="H276" s="22"/>
    </row>
    <row r="277" spans="1:8" ht="15">
      <c r="A277" s="110">
        <v>10</v>
      </c>
      <c r="B277" s="23" t="s">
        <v>41</v>
      </c>
      <c r="C277" s="23"/>
      <c r="D277" s="42"/>
      <c r="E277" s="43"/>
      <c r="F277" s="23"/>
      <c r="G277" s="291">
        <v>18877000</v>
      </c>
      <c r="H277" s="22"/>
    </row>
    <row r="278" spans="1:8" ht="15">
      <c r="A278" s="79"/>
      <c r="B278" s="23"/>
      <c r="C278" s="79"/>
      <c r="D278" s="79"/>
      <c r="E278" s="79"/>
      <c r="F278" s="79"/>
      <c r="G278" s="89"/>
      <c r="H278" s="79"/>
    </row>
    <row r="279" spans="1:8" ht="15">
      <c r="A279" s="707"/>
      <c r="B279" s="623" t="s">
        <v>129</v>
      </c>
      <c r="C279" s="625">
        <f aca="true" t="shared" si="18" ref="C279:H279">SUM(C268:C278)</f>
        <v>448</v>
      </c>
      <c r="D279" s="625">
        <f t="shared" si="18"/>
        <v>471.9068</v>
      </c>
      <c r="E279" s="625">
        <f t="shared" si="18"/>
        <v>6745551</v>
      </c>
      <c r="F279" s="625">
        <f t="shared" si="18"/>
        <v>1349576550</v>
      </c>
      <c r="G279" s="625">
        <f t="shared" si="18"/>
        <v>415043000</v>
      </c>
      <c r="H279" s="625">
        <f t="shared" si="18"/>
        <v>1111</v>
      </c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.75">
      <c r="A281" s="1172" t="s">
        <v>234</v>
      </c>
      <c r="B281" s="1172"/>
      <c r="C281" s="1172"/>
      <c r="D281" s="1172"/>
      <c r="E281" s="1172"/>
      <c r="F281" s="1172"/>
      <c r="G281" s="1172"/>
      <c r="H281" s="1172"/>
    </row>
    <row r="282" spans="1:8" ht="15">
      <c r="A282" s="1166" t="s">
        <v>121</v>
      </c>
      <c r="B282" s="1101" t="s">
        <v>5</v>
      </c>
      <c r="C282" s="1101" t="s">
        <v>6</v>
      </c>
      <c r="D282" s="667" t="s">
        <v>7</v>
      </c>
      <c r="E282" s="668" t="s">
        <v>8</v>
      </c>
      <c r="F282" s="669" t="s">
        <v>9</v>
      </c>
      <c r="G282" s="669" t="s">
        <v>10</v>
      </c>
      <c r="H282" s="668" t="s">
        <v>11</v>
      </c>
    </row>
    <row r="283" spans="1:8" ht="15">
      <c r="A283" s="1167"/>
      <c r="B283" s="1102"/>
      <c r="C283" s="1102"/>
      <c r="D283" s="670" t="s">
        <v>12</v>
      </c>
      <c r="E283" s="671" t="s">
        <v>13</v>
      </c>
      <c r="F283" s="672" t="s">
        <v>214</v>
      </c>
      <c r="G283" s="672" t="s">
        <v>214</v>
      </c>
      <c r="H283" s="671" t="s">
        <v>15</v>
      </c>
    </row>
    <row r="284" spans="1:8" ht="15">
      <c r="A284" s="403">
        <v>1</v>
      </c>
      <c r="B284" s="310" t="s">
        <v>135</v>
      </c>
      <c r="C284" s="310">
        <v>9</v>
      </c>
      <c r="D284" s="310">
        <v>9</v>
      </c>
      <c r="E284" s="339">
        <v>35550</v>
      </c>
      <c r="F284" s="310">
        <v>1599750</v>
      </c>
      <c r="G284" s="313">
        <v>143900</v>
      </c>
      <c r="H284" s="313">
        <v>465</v>
      </c>
    </row>
    <row r="285" spans="1:8" ht="15">
      <c r="A285" s="403">
        <v>2</v>
      </c>
      <c r="B285" s="310" t="s">
        <v>122</v>
      </c>
      <c r="C285" s="310">
        <v>23</v>
      </c>
      <c r="D285" s="310">
        <v>34.1</v>
      </c>
      <c r="E285" s="339">
        <v>5463</v>
      </c>
      <c r="F285" s="310">
        <v>4370400</v>
      </c>
      <c r="G285" s="313">
        <v>2126000</v>
      </c>
      <c r="H285" s="313">
        <v>75</v>
      </c>
    </row>
    <row r="286" spans="1:8" ht="15">
      <c r="A286" s="403">
        <v>3</v>
      </c>
      <c r="B286" s="310" t="s">
        <v>123</v>
      </c>
      <c r="C286" s="310"/>
      <c r="D286" s="310"/>
      <c r="E286" s="339">
        <v>4403012</v>
      </c>
      <c r="F286" s="310">
        <v>269424720</v>
      </c>
      <c r="G286" s="313">
        <v>76970000</v>
      </c>
      <c r="H286" s="313">
        <v>1910</v>
      </c>
    </row>
    <row r="287" spans="1:8" ht="15">
      <c r="A287" s="403">
        <v>4</v>
      </c>
      <c r="B287" s="310" t="s">
        <v>137</v>
      </c>
      <c r="C287" s="310">
        <v>103</v>
      </c>
      <c r="D287" s="310">
        <v>1340.58</v>
      </c>
      <c r="E287" s="339">
        <v>986800</v>
      </c>
      <c r="F287" s="310">
        <v>98680000</v>
      </c>
      <c r="G287" s="313">
        <v>64142000</v>
      </c>
      <c r="H287" s="313">
        <v>668</v>
      </c>
    </row>
    <row r="288" spans="1:8" ht="15">
      <c r="A288" s="403">
        <v>5</v>
      </c>
      <c r="B288" s="310" t="s">
        <v>124</v>
      </c>
      <c r="C288" s="310">
        <v>13</v>
      </c>
      <c r="D288" s="310">
        <v>45</v>
      </c>
      <c r="E288" s="339">
        <v>2018</v>
      </c>
      <c r="F288" s="310">
        <v>6054000</v>
      </c>
      <c r="G288" s="313">
        <v>3267000</v>
      </c>
      <c r="H288" s="574">
        <v>130</v>
      </c>
    </row>
    <row r="289" spans="1:8" ht="15">
      <c r="A289" s="403">
        <v>6</v>
      </c>
      <c r="B289" s="310" t="s">
        <v>125</v>
      </c>
      <c r="C289" s="310">
        <v>120</v>
      </c>
      <c r="D289" s="310">
        <v>120</v>
      </c>
      <c r="E289" s="339">
        <v>1814100</v>
      </c>
      <c r="F289" s="310">
        <v>247658125</v>
      </c>
      <c r="G289" s="313">
        <v>86056877</v>
      </c>
      <c r="H289" s="313">
        <v>9015</v>
      </c>
    </row>
    <row r="290" spans="1:8" ht="15">
      <c r="A290" s="403">
        <v>7</v>
      </c>
      <c r="B290" s="310" t="s">
        <v>139</v>
      </c>
      <c r="C290" s="310"/>
      <c r="D290" s="310"/>
      <c r="E290" s="339">
        <v>260895</v>
      </c>
      <c r="F290" s="310">
        <v>32611875</v>
      </c>
      <c r="G290" s="313">
        <v>148600</v>
      </c>
      <c r="H290" s="313">
        <v>1260</v>
      </c>
    </row>
    <row r="291" spans="1:8" ht="15">
      <c r="A291" s="403">
        <v>8</v>
      </c>
      <c r="B291" s="310" t="s">
        <v>166</v>
      </c>
      <c r="C291" s="310">
        <v>186</v>
      </c>
      <c r="D291" s="310">
        <v>186</v>
      </c>
      <c r="E291" s="339">
        <v>1075823</v>
      </c>
      <c r="F291" s="310">
        <v>80686725</v>
      </c>
      <c r="G291" s="313">
        <v>18289000</v>
      </c>
      <c r="H291" s="313">
        <v>558</v>
      </c>
    </row>
    <row r="292" spans="1:8" ht="15">
      <c r="A292" s="403">
        <v>9</v>
      </c>
      <c r="B292" s="310" t="s">
        <v>140</v>
      </c>
      <c r="C292" s="310">
        <v>42</v>
      </c>
      <c r="D292" s="310">
        <v>41.99</v>
      </c>
      <c r="E292" s="339">
        <v>6499879</v>
      </c>
      <c r="F292" s="310">
        <v>2346434750</v>
      </c>
      <c r="G292" s="313">
        <v>485402500</v>
      </c>
      <c r="H292" s="313">
        <v>36185</v>
      </c>
    </row>
    <row r="293" spans="1:8" ht="15">
      <c r="A293" s="403">
        <v>10</v>
      </c>
      <c r="B293" s="310" t="s">
        <v>128</v>
      </c>
      <c r="C293" s="310"/>
      <c r="D293" s="410"/>
      <c r="E293" s="339"/>
      <c r="F293" s="310"/>
      <c r="G293" s="313">
        <v>83525163</v>
      </c>
      <c r="H293" s="313"/>
    </row>
    <row r="294" spans="1:8" ht="15">
      <c r="A294" s="403">
        <v>11</v>
      </c>
      <c r="B294" s="310" t="s">
        <v>41</v>
      </c>
      <c r="C294" s="310"/>
      <c r="D294" s="410"/>
      <c r="E294" s="339"/>
      <c r="F294" s="310"/>
      <c r="G294" s="313">
        <v>214272000</v>
      </c>
      <c r="H294" s="313"/>
    </row>
    <row r="295" spans="1:8" ht="15">
      <c r="A295" s="689"/>
      <c r="B295" s="621" t="s">
        <v>129</v>
      </c>
      <c r="C295" s="625">
        <f aca="true" t="shared" si="19" ref="C295:H295">SUM(C284:C294)</f>
        <v>496</v>
      </c>
      <c r="D295" s="625">
        <f t="shared" si="19"/>
        <v>1776.6699999999998</v>
      </c>
      <c r="E295" s="625">
        <f t="shared" si="19"/>
        <v>15083540</v>
      </c>
      <c r="F295" s="625">
        <f t="shared" si="19"/>
        <v>3087520345</v>
      </c>
      <c r="G295" s="625">
        <f t="shared" si="19"/>
        <v>1034343040</v>
      </c>
      <c r="H295" s="625">
        <f t="shared" si="19"/>
        <v>50266</v>
      </c>
    </row>
    <row r="296" spans="1:8" ht="15">
      <c r="A296" s="271"/>
      <c r="B296" s="397"/>
      <c r="C296" s="397"/>
      <c r="D296" s="397"/>
      <c r="E296" s="397"/>
      <c r="F296" s="397"/>
      <c r="G296" s="397"/>
      <c r="H296" s="397"/>
    </row>
    <row r="297" spans="1:8" ht="15.75">
      <c r="A297" s="1175" t="s">
        <v>235</v>
      </c>
      <c r="B297" s="1175"/>
      <c r="C297" s="1175"/>
      <c r="D297" s="1175"/>
      <c r="E297" s="1175"/>
      <c r="F297" s="1175"/>
      <c r="G297" s="1175"/>
      <c r="H297" s="1175"/>
    </row>
    <row r="298" spans="1:8" ht="15">
      <c r="A298" s="1166" t="s">
        <v>121</v>
      </c>
      <c r="B298" s="1101" t="s">
        <v>5</v>
      </c>
      <c r="C298" s="1101" t="s">
        <v>6</v>
      </c>
      <c r="D298" s="667" t="s">
        <v>7</v>
      </c>
      <c r="E298" s="668" t="s">
        <v>8</v>
      </c>
      <c r="F298" s="669" t="s">
        <v>9</v>
      </c>
      <c r="G298" s="669" t="s">
        <v>10</v>
      </c>
      <c r="H298" s="668" t="s">
        <v>11</v>
      </c>
    </row>
    <row r="299" spans="1:8" ht="15">
      <c r="A299" s="1167"/>
      <c r="B299" s="1102"/>
      <c r="C299" s="1102"/>
      <c r="D299" s="670" t="s">
        <v>12</v>
      </c>
      <c r="E299" s="671" t="s">
        <v>13</v>
      </c>
      <c r="F299" s="672" t="s">
        <v>214</v>
      </c>
      <c r="G299" s="672" t="s">
        <v>214</v>
      </c>
      <c r="H299" s="671" t="s">
        <v>15</v>
      </c>
    </row>
    <row r="300" spans="1:8" ht="15">
      <c r="A300" s="110">
        <v>1</v>
      </c>
      <c r="B300" s="23" t="s">
        <v>140</v>
      </c>
      <c r="C300" s="23">
        <v>146</v>
      </c>
      <c r="D300" s="23">
        <v>6441.81</v>
      </c>
      <c r="E300" s="43">
        <v>845158</v>
      </c>
      <c r="F300" s="23">
        <v>321160040</v>
      </c>
      <c r="G300" s="22">
        <v>120354000</v>
      </c>
      <c r="H300" s="22">
        <v>15400</v>
      </c>
    </row>
    <row r="301" spans="1:8" ht="15">
      <c r="A301" s="111">
        <v>2</v>
      </c>
      <c r="B301" s="23" t="s">
        <v>169</v>
      </c>
      <c r="C301" s="23">
        <v>4</v>
      </c>
      <c r="D301" s="23">
        <v>86.5764</v>
      </c>
      <c r="E301" s="43">
        <v>894</v>
      </c>
      <c r="F301" s="23">
        <v>339720</v>
      </c>
      <c r="G301" s="22">
        <v>103000</v>
      </c>
      <c r="H301" s="22">
        <v>12</v>
      </c>
    </row>
    <row r="302" spans="1:8" ht="15">
      <c r="A302" s="110">
        <v>3</v>
      </c>
      <c r="B302" s="23" t="s">
        <v>374</v>
      </c>
      <c r="C302" s="23">
        <v>2</v>
      </c>
      <c r="D302" s="23">
        <v>2.39</v>
      </c>
      <c r="E302" s="43">
        <v>19692</v>
      </c>
      <c r="F302" s="23">
        <v>3347640</v>
      </c>
      <c r="G302" s="22">
        <v>256000</v>
      </c>
      <c r="H302" s="22">
        <v>35</v>
      </c>
    </row>
    <row r="303" spans="1:8" ht="15">
      <c r="A303" s="111">
        <v>4</v>
      </c>
      <c r="B303" s="23" t="s">
        <v>122</v>
      </c>
      <c r="C303" s="23">
        <v>1</v>
      </c>
      <c r="D303" s="23">
        <v>1</v>
      </c>
      <c r="E303" s="43"/>
      <c r="F303" s="23"/>
      <c r="G303" s="22">
        <v>29000</v>
      </c>
      <c r="H303" s="22"/>
    </row>
    <row r="304" spans="1:8" ht="15">
      <c r="A304" s="110">
        <v>5</v>
      </c>
      <c r="B304" s="23" t="s">
        <v>125</v>
      </c>
      <c r="C304" s="438">
        <v>86</v>
      </c>
      <c r="D304" s="23">
        <v>137.98</v>
      </c>
      <c r="E304" s="23">
        <v>889429</v>
      </c>
      <c r="F304" s="23">
        <v>133414350</v>
      </c>
      <c r="G304" s="22">
        <v>15112000</v>
      </c>
      <c r="H304" s="22">
        <v>500</v>
      </c>
    </row>
    <row r="305" spans="1:8" ht="15">
      <c r="A305" s="111">
        <v>6</v>
      </c>
      <c r="B305" s="23" t="s">
        <v>148</v>
      </c>
      <c r="C305" s="23"/>
      <c r="D305" s="23"/>
      <c r="E305" s="43">
        <v>85950</v>
      </c>
      <c r="F305" s="23">
        <v>12892500</v>
      </c>
      <c r="G305" s="22">
        <v>1653000</v>
      </c>
      <c r="H305" s="22">
        <v>200</v>
      </c>
    </row>
    <row r="306" spans="1:8" ht="15">
      <c r="A306" s="110">
        <v>7</v>
      </c>
      <c r="B306" s="23" t="s">
        <v>123</v>
      </c>
      <c r="C306" s="23"/>
      <c r="D306" s="23"/>
      <c r="E306" s="43">
        <v>501150</v>
      </c>
      <c r="F306" s="23">
        <v>75172500</v>
      </c>
      <c r="G306" s="22">
        <v>9177000</v>
      </c>
      <c r="H306" s="22">
        <v>40</v>
      </c>
    </row>
    <row r="307" spans="1:8" ht="15">
      <c r="A307" s="111">
        <v>8</v>
      </c>
      <c r="B307" s="23" t="s">
        <v>145</v>
      </c>
      <c r="C307" s="23"/>
      <c r="D307" s="23"/>
      <c r="E307" s="43">
        <v>137000</v>
      </c>
      <c r="F307" s="23">
        <v>20550000</v>
      </c>
      <c r="G307" s="22">
        <v>342000</v>
      </c>
      <c r="H307" s="22">
        <v>80</v>
      </c>
    </row>
    <row r="308" spans="1:8" ht="15">
      <c r="A308" s="110">
        <v>9</v>
      </c>
      <c r="B308" s="23" t="s">
        <v>128</v>
      </c>
      <c r="C308" s="23"/>
      <c r="D308" s="23"/>
      <c r="E308" s="43"/>
      <c r="F308" s="23"/>
      <c r="G308" s="22">
        <v>7121000</v>
      </c>
      <c r="H308" s="22"/>
    </row>
    <row r="309" spans="1:8" ht="15">
      <c r="A309" s="111">
        <v>10</v>
      </c>
      <c r="B309" s="23" t="s">
        <v>41</v>
      </c>
      <c r="C309" s="23"/>
      <c r="D309" s="42"/>
      <c r="E309" s="43"/>
      <c r="F309" s="23"/>
      <c r="G309" s="22"/>
      <c r="H309" s="22"/>
    </row>
    <row r="310" spans="1:8" ht="10.5" customHeight="1">
      <c r="A310" s="272"/>
      <c r="B310" s="23"/>
      <c r="C310" s="260"/>
      <c r="D310" s="260"/>
      <c r="E310" s="58"/>
      <c r="F310" s="260"/>
      <c r="G310" s="79"/>
      <c r="H310" s="260"/>
    </row>
    <row r="311" spans="1:8" ht="15">
      <c r="A311" s="699"/>
      <c r="B311" s="625" t="s">
        <v>129</v>
      </c>
      <c r="C311" s="680">
        <f aca="true" t="shared" si="20" ref="C311:H311">SUM(C300:C310)</f>
        <v>239</v>
      </c>
      <c r="D311" s="681">
        <f t="shared" si="20"/>
        <v>6669.7564</v>
      </c>
      <c r="E311" s="701">
        <f t="shared" si="20"/>
        <v>2479273</v>
      </c>
      <c r="F311" s="701">
        <f t="shared" si="20"/>
        <v>566876750</v>
      </c>
      <c r="G311" s="701">
        <f t="shared" si="20"/>
        <v>154147000</v>
      </c>
      <c r="H311" s="703">
        <f t="shared" si="20"/>
        <v>16267</v>
      </c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.75">
      <c r="A313" s="1174" t="s">
        <v>236</v>
      </c>
      <c r="B313" s="1174"/>
      <c r="C313" s="1174"/>
      <c r="D313" s="1174"/>
      <c r="E313" s="1174"/>
      <c r="F313" s="1174"/>
      <c r="G313" s="1174"/>
      <c r="H313" s="1174"/>
    </row>
    <row r="314" spans="1:8" ht="15">
      <c r="A314" s="1166" t="s">
        <v>121</v>
      </c>
      <c r="B314" s="1101" t="s">
        <v>5</v>
      </c>
      <c r="C314" s="1101" t="s">
        <v>6</v>
      </c>
      <c r="D314" s="675" t="s">
        <v>7</v>
      </c>
      <c r="E314" s="676" t="s">
        <v>8</v>
      </c>
      <c r="F314" s="677" t="s">
        <v>9</v>
      </c>
      <c r="G314" s="677" t="s">
        <v>10</v>
      </c>
      <c r="H314" s="676" t="s">
        <v>11</v>
      </c>
    </row>
    <row r="315" spans="1:9" ht="15">
      <c r="A315" s="1167"/>
      <c r="B315" s="1102"/>
      <c r="C315" s="1102"/>
      <c r="D315" s="678" t="s">
        <v>12</v>
      </c>
      <c r="E315" s="671" t="s">
        <v>13</v>
      </c>
      <c r="F315" s="672" t="s">
        <v>214</v>
      </c>
      <c r="G315" s="672" t="s">
        <v>214</v>
      </c>
      <c r="H315" s="671" t="s">
        <v>15</v>
      </c>
      <c r="I315" s="306"/>
    </row>
    <row r="316" spans="1:9" ht="15">
      <c r="A316" s="309">
        <v>1</v>
      </c>
      <c r="B316" s="310" t="s">
        <v>123</v>
      </c>
      <c r="C316" s="307"/>
      <c r="D316" s="673"/>
      <c r="E316" s="674">
        <v>725534</v>
      </c>
      <c r="F316" s="344">
        <v>107759400</v>
      </c>
      <c r="G316" s="343">
        <v>12126199</v>
      </c>
      <c r="H316" s="343">
        <v>100</v>
      </c>
      <c r="I316" s="255"/>
    </row>
    <row r="317" spans="1:9" ht="15">
      <c r="A317" s="309">
        <v>2</v>
      </c>
      <c r="B317" s="310" t="s">
        <v>174</v>
      </c>
      <c r="C317" s="308">
        <v>51</v>
      </c>
      <c r="D317" s="186">
        <v>1557.69</v>
      </c>
      <c r="E317" s="187">
        <v>2699375</v>
      </c>
      <c r="F317" s="185">
        <v>4588937500</v>
      </c>
      <c r="G317" s="188">
        <v>495563000</v>
      </c>
      <c r="H317" s="188">
        <v>3606</v>
      </c>
      <c r="I317" s="255"/>
    </row>
    <row r="318" spans="1:9" ht="15">
      <c r="A318" s="309">
        <v>3</v>
      </c>
      <c r="B318" s="310" t="s">
        <v>125</v>
      </c>
      <c r="C318" s="308">
        <v>51</v>
      </c>
      <c r="D318" s="186">
        <v>51.6</v>
      </c>
      <c r="E318" s="187">
        <v>4427159</v>
      </c>
      <c r="F318" s="185">
        <v>564726057</v>
      </c>
      <c r="G318" s="188">
        <v>30980305</v>
      </c>
      <c r="H318" s="188">
        <v>193</v>
      </c>
      <c r="I318" s="255"/>
    </row>
    <row r="319" spans="1:9" ht="15">
      <c r="A319" s="309">
        <v>4</v>
      </c>
      <c r="B319" s="23" t="s">
        <v>145</v>
      </c>
      <c r="C319" s="23"/>
      <c r="D319" s="42"/>
      <c r="E319" s="43">
        <v>1729682</v>
      </c>
      <c r="F319" s="22">
        <v>51890460</v>
      </c>
      <c r="G319" s="22">
        <v>2840047</v>
      </c>
      <c r="H319" s="22"/>
      <c r="I319" s="255"/>
    </row>
    <row r="320" spans="1:9" ht="15">
      <c r="A320" s="309">
        <v>5</v>
      </c>
      <c r="B320" s="23" t="s">
        <v>148</v>
      </c>
      <c r="C320" s="23"/>
      <c r="D320" s="42"/>
      <c r="E320" s="43"/>
      <c r="F320" s="22"/>
      <c r="G320" s="22">
        <v>89680</v>
      </c>
      <c r="H320" s="22"/>
      <c r="I320" s="255"/>
    </row>
    <row r="321" spans="1:9" ht="15">
      <c r="A321" s="309">
        <v>6</v>
      </c>
      <c r="B321" s="23" t="s">
        <v>140</v>
      </c>
      <c r="C321" s="23">
        <v>9</v>
      </c>
      <c r="D321" s="42">
        <v>10.67</v>
      </c>
      <c r="E321" s="43">
        <v>19090</v>
      </c>
      <c r="F321" s="23">
        <v>19828000</v>
      </c>
      <c r="G321" s="22">
        <v>408611</v>
      </c>
      <c r="H321" s="22">
        <v>32</v>
      </c>
      <c r="I321" s="255"/>
    </row>
    <row r="322" spans="1:9" ht="15">
      <c r="A322" s="309">
        <v>7</v>
      </c>
      <c r="B322" s="185" t="s">
        <v>128</v>
      </c>
      <c r="C322" s="23"/>
      <c r="D322" s="42"/>
      <c r="E322" s="43"/>
      <c r="F322" s="23"/>
      <c r="G322" s="22">
        <v>20500605</v>
      </c>
      <c r="H322" s="22"/>
      <c r="I322" s="255"/>
    </row>
    <row r="323" spans="1:9" ht="15">
      <c r="A323" s="309">
        <v>8</v>
      </c>
      <c r="B323" s="23" t="s">
        <v>41</v>
      </c>
      <c r="C323" s="23"/>
      <c r="D323" s="42"/>
      <c r="E323" s="43"/>
      <c r="F323" s="23"/>
      <c r="G323" s="22">
        <v>15480615</v>
      </c>
      <c r="H323" s="22"/>
      <c r="I323" s="255"/>
    </row>
    <row r="324" spans="1:8" ht="15">
      <c r="A324" s="699"/>
      <c r="B324" s="625" t="s">
        <v>129</v>
      </c>
      <c r="C324" s="680">
        <f aca="true" t="shared" si="21" ref="C324:H324">SUM(C316:C323)</f>
        <v>111</v>
      </c>
      <c r="D324" s="681">
        <f t="shared" si="21"/>
        <v>1619.96</v>
      </c>
      <c r="E324" s="704">
        <f t="shared" si="21"/>
        <v>9600840</v>
      </c>
      <c r="F324" s="701">
        <f t="shared" si="21"/>
        <v>5333141417</v>
      </c>
      <c r="G324" s="705">
        <f t="shared" si="21"/>
        <v>577989062</v>
      </c>
      <c r="H324" s="706">
        <f t="shared" si="21"/>
        <v>3931</v>
      </c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.75">
      <c r="A326" s="1172" t="s">
        <v>237</v>
      </c>
      <c r="B326" s="1172"/>
      <c r="C326" s="1172"/>
      <c r="D326" s="1172"/>
      <c r="E326" s="1172"/>
      <c r="F326" s="1172"/>
      <c r="G326" s="1172"/>
      <c r="H326" s="1172"/>
    </row>
    <row r="327" spans="1:8" ht="15">
      <c r="A327" s="1166" t="s">
        <v>121</v>
      </c>
      <c r="B327" s="1101" t="s">
        <v>5</v>
      </c>
      <c r="C327" s="1101" t="s">
        <v>6</v>
      </c>
      <c r="D327" s="667" t="s">
        <v>7</v>
      </c>
      <c r="E327" s="668" t="s">
        <v>8</v>
      </c>
      <c r="F327" s="669" t="s">
        <v>9</v>
      </c>
      <c r="G327" s="669" t="s">
        <v>10</v>
      </c>
      <c r="H327" s="668" t="s">
        <v>11</v>
      </c>
    </row>
    <row r="328" spans="1:8" ht="15">
      <c r="A328" s="1167"/>
      <c r="B328" s="1102"/>
      <c r="C328" s="1102"/>
      <c r="D328" s="670" t="s">
        <v>12</v>
      </c>
      <c r="E328" s="671" t="s">
        <v>13</v>
      </c>
      <c r="F328" s="672" t="s">
        <v>214</v>
      </c>
      <c r="G328" s="672" t="s">
        <v>214</v>
      </c>
      <c r="H328" s="671" t="s">
        <v>15</v>
      </c>
    </row>
    <row r="329" spans="1:8" ht="15">
      <c r="A329" s="403">
        <v>1</v>
      </c>
      <c r="B329" s="310" t="s">
        <v>123</v>
      </c>
      <c r="C329" s="310"/>
      <c r="D329" s="410"/>
      <c r="E329" s="339">
        <v>1677700</v>
      </c>
      <c r="F329" s="310">
        <v>88605000</v>
      </c>
      <c r="G329" s="313">
        <v>42483034</v>
      </c>
      <c r="H329" s="313">
        <v>600</v>
      </c>
    </row>
    <row r="330" spans="1:8" ht="15">
      <c r="A330" s="403">
        <v>2</v>
      </c>
      <c r="B330" s="310" t="s">
        <v>137</v>
      </c>
      <c r="C330" s="310">
        <v>180</v>
      </c>
      <c r="D330" s="410">
        <v>6716.48</v>
      </c>
      <c r="E330" s="339">
        <v>3140227</v>
      </c>
      <c r="F330" s="310">
        <v>538198406</v>
      </c>
      <c r="G330" s="313">
        <v>222815713</v>
      </c>
      <c r="H330" s="313">
        <v>2102</v>
      </c>
    </row>
    <row r="331" spans="1:8" ht="15">
      <c r="A331" s="403">
        <v>3</v>
      </c>
      <c r="B331" s="310" t="s">
        <v>124</v>
      </c>
      <c r="C331" s="310">
        <v>3</v>
      </c>
      <c r="D331" s="410">
        <v>3.483</v>
      </c>
      <c r="E331" s="339">
        <v>747195</v>
      </c>
      <c r="F331" s="310">
        <v>4471536500</v>
      </c>
      <c r="G331" s="313">
        <v>220530000</v>
      </c>
      <c r="H331" s="313">
        <v>11097</v>
      </c>
    </row>
    <row r="332" spans="1:8" ht="15">
      <c r="A332" s="403">
        <v>4</v>
      </c>
      <c r="B332" s="310" t="s">
        <v>125</v>
      </c>
      <c r="C332" s="310">
        <v>554</v>
      </c>
      <c r="D332" s="410">
        <v>537.05</v>
      </c>
      <c r="E332" s="339">
        <v>3056364</v>
      </c>
      <c r="F332" s="310">
        <v>145119950</v>
      </c>
      <c r="G332" s="313">
        <v>111832640</v>
      </c>
      <c r="H332" s="313">
        <v>5870</v>
      </c>
    </row>
    <row r="333" spans="1:8" ht="15.75">
      <c r="A333" s="403">
        <v>5</v>
      </c>
      <c r="B333" s="367" t="s">
        <v>359</v>
      </c>
      <c r="C333" s="310">
        <v>2</v>
      </c>
      <c r="D333" s="410">
        <v>2</v>
      </c>
      <c r="E333" s="339"/>
      <c r="F333" s="310"/>
      <c r="G333" s="313">
        <v>16000</v>
      </c>
      <c r="H333" s="313"/>
    </row>
    <row r="334" spans="1:8" ht="15">
      <c r="A334" s="403">
        <v>6</v>
      </c>
      <c r="B334" s="310" t="s">
        <v>140</v>
      </c>
      <c r="C334" s="310"/>
      <c r="D334" s="410"/>
      <c r="E334" s="339">
        <v>140250</v>
      </c>
      <c r="F334" s="310">
        <v>70125000</v>
      </c>
      <c r="G334" s="313"/>
      <c r="H334" s="313">
        <v>360</v>
      </c>
    </row>
    <row r="335" spans="1:8" ht="15">
      <c r="A335" s="403">
        <v>7</v>
      </c>
      <c r="B335" s="310" t="s">
        <v>128</v>
      </c>
      <c r="C335" s="310"/>
      <c r="D335" s="410"/>
      <c r="E335" s="339"/>
      <c r="F335" s="310"/>
      <c r="G335" s="313">
        <v>12231424</v>
      </c>
      <c r="H335" s="313"/>
    </row>
    <row r="336" spans="1:8" ht="15.75">
      <c r="A336" s="403">
        <v>8</v>
      </c>
      <c r="B336" s="367" t="s">
        <v>41</v>
      </c>
      <c r="C336" s="310"/>
      <c r="D336" s="410"/>
      <c r="E336" s="339"/>
      <c r="F336" s="310"/>
      <c r="G336" s="313">
        <v>15640512</v>
      </c>
      <c r="H336" s="313"/>
    </row>
    <row r="337" spans="1:8" ht="15">
      <c r="A337" s="699"/>
      <c r="B337" s="625" t="s">
        <v>129</v>
      </c>
      <c r="C337" s="680">
        <f aca="true" t="shared" si="22" ref="C337:H337">SUM(C329:C336)</f>
        <v>739</v>
      </c>
      <c r="D337" s="681">
        <f t="shared" si="22"/>
        <v>7259.013</v>
      </c>
      <c r="E337" s="680">
        <f t="shared" si="22"/>
        <v>8761736</v>
      </c>
      <c r="F337" s="701">
        <f t="shared" si="22"/>
        <v>5313584856</v>
      </c>
      <c r="G337" s="701">
        <f t="shared" si="22"/>
        <v>625549323</v>
      </c>
      <c r="H337" s="703">
        <f t="shared" si="22"/>
        <v>20029</v>
      </c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1172" t="s">
        <v>238</v>
      </c>
      <c r="B339" s="1172"/>
      <c r="C339" s="1172"/>
      <c r="D339" s="1172"/>
      <c r="E339" s="1172"/>
      <c r="F339" s="1172"/>
      <c r="G339" s="1172"/>
      <c r="H339" s="1172"/>
    </row>
    <row r="340" spans="1:8" ht="15">
      <c r="A340" s="1166" t="s">
        <v>121</v>
      </c>
      <c r="B340" s="1101" t="s">
        <v>5</v>
      </c>
      <c r="C340" s="1101" t="s">
        <v>6</v>
      </c>
      <c r="D340" s="667" t="s">
        <v>7</v>
      </c>
      <c r="E340" s="668" t="s">
        <v>8</v>
      </c>
      <c r="F340" s="669" t="s">
        <v>9</v>
      </c>
      <c r="G340" s="669" t="s">
        <v>10</v>
      </c>
      <c r="H340" s="668" t="s">
        <v>11</v>
      </c>
    </row>
    <row r="341" spans="1:8" ht="15">
      <c r="A341" s="1167"/>
      <c r="B341" s="1102"/>
      <c r="C341" s="1102"/>
      <c r="D341" s="670" t="s">
        <v>12</v>
      </c>
      <c r="E341" s="671" t="s">
        <v>13</v>
      </c>
      <c r="F341" s="672" t="s">
        <v>214</v>
      </c>
      <c r="G341" s="672" t="s">
        <v>214</v>
      </c>
      <c r="H341" s="671" t="s">
        <v>15</v>
      </c>
    </row>
    <row r="342" spans="1:8" ht="15">
      <c r="A342" s="110">
        <v>1</v>
      </c>
      <c r="B342" s="23" t="s">
        <v>137</v>
      </c>
      <c r="C342" s="20">
        <v>41</v>
      </c>
      <c r="D342" s="23">
        <v>2439.5</v>
      </c>
      <c r="E342" s="22">
        <v>785877</v>
      </c>
      <c r="F342" s="22">
        <v>176822325</v>
      </c>
      <c r="G342" s="22">
        <v>51082000</v>
      </c>
      <c r="H342" s="20">
        <v>510</v>
      </c>
    </row>
    <row r="343" spans="1:8" ht="15">
      <c r="A343" s="111">
        <v>2</v>
      </c>
      <c r="B343" s="23" t="s">
        <v>124</v>
      </c>
      <c r="C343" s="20">
        <v>5</v>
      </c>
      <c r="D343" s="23">
        <v>8</v>
      </c>
      <c r="E343" s="22">
        <v>7900</v>
      </c>
      <c r="F343" s="22">
        <v>2765000</v>
      </c>
      <c r="G343" s="22">
        <v>1354000</v>
      </c>
      <c r="H343" s="20">
        <v>60</v>
      </c>
    </row>
    <row r="344" spans="1:8" ht="15">
      <c r="A344" s="111">
        <v>3</v>
      </c>
      <c r="B344" s="23" t="s">
        <v>166</v>
      </c>
      <c r="C344" s="20">
        <v>31</v>
      </c>
      <c r="D344" s="23">
        <v>37.35</v>
      </c>
      <c r="E344" s="22">
        <v>22596</v>
      </c>
      <c r="F344" s="22">
        <v>7908600</v>
      </c>
      <c r="G344" s="22">
        <v>1425000</v>
      </c>
      <c r="H344" s="20">
        <v>340</v>
      </c>
    </row>
    <row r="345" spans="1:8" ht="15">
      <c r="A345" s="111">
        <v>4</v>
      </c>
      <c r="B345" s="23" t="s">
        <v>122</v>
      </c>
      <c r="C345" s="20">
        <v>57</v>
      </c>
      <c r="D345" s="23">
        <v>111</v>
      </c>
      <c r="E345" s="22">
        <v>75200</v>
      </c>
      <c r="F345" s="22">
        <v>45120000</v>
      </c>
      <c r="G345" s="22">
        <v>13160000</v>
      </c>
      <c r="H345" s="20">
        <v>610</v>
      </c>
    </row>
    <row r="346" spans="1:8" ht="15">
      <c r="A346" s="111">
        <v>5</v>
      </c>
      <c r="B346" s="23" t="s">
        <v>125</v>
      </c>
      <c r="C346" s="20">
        <v>215</v>
      </c>
      <c r="D346" s="23">
        <v>215</v>
      </c>
      <c r="E346" s="22">
        <v>1534764</v>
      </c>
      <c r="F346" s="22">
        <v>345321900</v>
      </c>
      <c r="G346" s="22">
        <v>26091000</v>
      </c>
      <c r="H346" s="20">
        <v>1200</v>
      </c>
    </row>
    <row r="347" spans="1:8" ht="15">
      <c r="A347" s="136">
        <v>6</v>
      </c>
      <c r="B347" s="23" t="s">
        <v>123</v>
      </c>
      <c r="C347" s="20"/>
      <c r="D347" s="23"/>
      <c r="E347" s="188">
        <v>2410550</v>
      </c>
      <c r="F347" s="188">
        <v>120527500</v>
      </c>
      <c r="G347" s="188">
        <v>48211000</v>
      </c>
      <c r="H347" s="20">
        <v>580</v>
      </c>
    </row>
    <row r="348" spans="1:8" ht="15">
      <c r="A348" s="111">
        <v>7</v>
      </c>
      <c r="B348" s="23" t="s">
        <v>183</v>
      </c>
      <c r="C348" s="221"/>
      <c r="D348" s="347"/>
      <c r="E348" s="313">
        <v>17718</v>
      </c>
      <c r="F348" s="313"/>
      <c r="G348" s="354">
        <v>3395000</v>
      </c>
      <c r="H348" s="221"/>
    </row>
    <row r="349" spans="1:8" ht="15">
      <c r="A349" s="110">
        <v>8</v>
      </c>
      <c r="B349" s="23" t="s">
        <v>146</v>
      </c>
      <c r="C349" s="221"/>
      <c r="D349" s="347"/>
      <c r="E349" s="313"/>
      <c r="F349" s="313"/>
      <c r="G349" s="354"/>
      <c r="H349" s="221"/>
    </row>
    <row r="350" spans="1:8" ht="15.75">
      <c r="A350" s="111">
        <v>9</v>
      </c>
      <c r="B350" s="23" t="s">
        <v>128</v>
      </c>
      <c r="C350" s="20"/>
      <c r="D350" s="347"/>
      <c r="E350" s="313"/>
      <c r="F350" s="324"/>
      <c r="G350" s="355">
        <v>8542000</v>
      </c>
      <c r="H350" s="20"/>
    </row>
    <row r="351" spans="1:8" ht="15">
      <c r="A351" s="111">
        <v>10</v>
      </c>
      <c r="B351" s="23" t="s">
        <v>41</v>
      </c>
      <c r="C351" s="20"/>
      <c r="D351" s="347"/>
      <c r="E351" s="313"/>
      <c r="F351" s="313"/>
      <c r="G351" s="355"/>
      <c r="H351" s="20"/>
    </row>
    <row r="352" spans="1:8" ht="15">
      <c r="A352" s="699"/>
      <c r="B352" s="625" t="s">
        <v>129</v>
      </c>
      <c r="C352" s="699">
        <f aca="true" t="shared" si="23" ref="C352:H352">SUM(C342:C351)</f>
        <v>349</v>
      </c>
      <c r="D352" s="700">
        <f t="shared" si="23"/>
        <v>2810.85</v>
      </c>
      <c r="E352" s="701">
        <f t="shared" si="23"/>
        <v>4854605</v>
      </c>
      <c r="F352" s="701">
        <f t="shared" si="23"/>
        <v>698465325</v>
      </c>
      <c r="G352" s="702">
        <f t="shared" si="23"/>
        <v>153260000</v>
      </c>
      <c r="H352" s="703">
        <f t="shared" si="23"/>
        <v>3300</v>
      </c>
    </row>
    <row r="353" spans="1:8" ht="15">
      <c r="A353" s="63"/>
      <c r="B353" s="63"/>
      <c r="C353" s="63"/>
      <c r="D353" s="63"/>
      <c r="E353" s="63"/>
      <c r="F353" s="63"/>
      <c r="G353" s="63"/>
      <c r="H353" s="63"/>
    </row>
    <row r="354" spans="1:8" ht="15">
      <c r="A354" s="1173" t="s">
        <v>239</v>
      </c>
      <c r="B354" s="1173"/>
      <c r="C354" s="1173"/>
      <c r="D354" s="1173"/>
      <c r="E354" s="1173"/>
      <c r="F354" s="1173"/>
      <c r="G354" s="1173"/>
      <c r="H354" s="1173"/>
    </row>
    <row r="355" spans="1:8" ht="15">
      <c r="A355" s="1166" t="s">
        <v>121</v>
      </c>
      <c r="B355" s="1101" t="s">
        <v>5</v>
      </c>
      <c r="C355" s="1101" t="s">
        <v>6</v>
      </c>
      <c r="D355" s="667" t="s">
        <v>7</v>
      </c>
      <c r="E355" s="668" t="s">
        <v>8</v>
      </c>
      <c r="F355" s="669" t="s">
        <v>9</v>
      </c>
      <c r="G355" s="669" t="s">
        <v>10</v>
      </c>
      <c r="H355" s="668" t="s">
        <v>11</v>
      </c>
    </row>
    <row r="356" spans="1:8" ht="15">
      <c r="A356" s="1167"/>
      <c r="B356" s="1102"/>
      <c r="C356" s="1102"/>
      <c r="D356" s="670" t="s">
        <v>12</v>
      </c>
      <c r="E356" s="671" t="s">
        <v>13</v>
      </c>
      <c r="F356" s="672" t="s">
        <v>214</v>
      </c>
      <c r="G356" s="672" t="s">
        <v>214</v>
      </c>
      <c r="H356" s="671" t="s">
        <v>15</v>
      </c>
    </row>
    <row r="357" spans="1:8" ht="15">
      <c r="A357" s="110">
        <v>1</v>
      </c>
      <c r="B357" s="23" t="s">
        <v>124</v>
      </c>
      <c r="C357" s="23">
        <v>16</v>
      </c>
      <c r="D357" s="23">
        <v>19</v>
      </c>
      <c r="E357" s="43">
        <v>48250</v>
      </c>
      <c r="F357" s="23">
        <v>14012500</v>
      </c>
      <c r="G357" s="22">
        <v>2532000</v>
      </c>
      <c r="H357" s="22">
        <v>36</v>
      </c>
    </row>
    <row r="358" spans="1:8" ht="15">
      <c r="A358" s="111">
        <v>2</v>
      </c>
      <c r="B358" s="23" t="s">
        <v>137</v>
      </c>
      <c r="C358" s="23">
        <v>8</v>
      </c>
      <c r="D358" s="23">
        <v>9.48</v>
      </c>
      <c r="E358" s="43">
        <v>26552</v>
      </c>
      <c r="F358" s="23">
        <v>5044880</v>
      </c>
      <c r="G358" s="22">
        <v>3845000</v>
      </c>
      <c r="H358" s="22">
        <v>16</v>
      </c>
    </row>
    <row r="359" spans="1:8" ht="15">
      <c r="A359" s="111">
        <f>+A358+1</f>
        <v>3</v>
      </c>
      <c r="B359" s="23" t="s">
        <v>125</v>
      </c>
      <c r="C359" s="23">
        <v>14</v>
      </c>
      <c r="D359" s="23">
        <v>16</v>
      </c>
      <c r="E359" s="43">
        <v>13283</v>
      </c>
      <c r="F359" s="23">
        <v>1328300</v>
      </c>
      <c r="G359" s="22">
        <v>3300000</v>
      </c>
      <c r="H359" s="22">
        <v>28</v>
      </c>
    </row>
    <row r="360" spans="1:8" ht="15">
      <c r="A360" s="111">
        <f aca="true" t="shared" si="24" ref="A360:A365">+A359+1</f>
        <v>4</v>
      </c>
      <c r="B360" s="360" t="s">
        <v>183</v>
      </c>
      <c r="C360" s="23">
        <v>24</v>
      </c>
      <c r="D360" s="23">
        <v>54</v>
      </c>
      <c r="E360" s="43">
        <v>6658</v>
      </c>
      <c r="F360" s="23">
        <v>27297800</v>
      </c>
      <c r="G360" s="22">
        <v>734000</v>
      </c>
      <c r="H360" s="22">
        <v>48</v>
      </c>
    </row>
    <row r="361" spans="1:8" ht="15">
      <c r="A361" s="111">
        <f t="shared" si="24"/>
        <v>5</v>
      </c>
      <c r="B361" s="23" t="s">
        <v>123</v>
      </c>
      <c r="C361" s="23"/>
      <c r="D361" s="23"/>
      <c r="E361" s="43"/>
      <c r="F361" s="23"/>
      <c r="G361" s="22">
        <v>2407000</v>
      </c>
      <c r="H361" s="277"/>
    </row>
    <row r="362" spans="1:8" ht="15">
      <c r="A362" s="111">
        <f t="shared" si="24"/>
        <v>6</v>
      </c>
      <c r="B362" s="360" t="s">
        <v>265</v>
      </c>
      <c r="C362" s="23"/>
      <c r="D362" s="23"/>
      <c r="E362" s="43"/>
      <c r="F362" s="23"/>
      <c r="G362" s="22">
        <v>19000</v>
      </c>
      <c r="H362" s="22"/>
    </row>
    <row r="363" spans="1:8" ht="15">
      <c r="A363" s="111">
        <f t="shared" si="24"/>
        <v>7</v>
      </c>
      <c r="B363" s="23" t="s">
        <v>145</v>
      </c>
      <c r="C363" s="23"/>
      <c r="D363" s="23"/>
      <c r="E363" s="43"/>
      <c r="F363" s="23"/>
      <c r="G363" s="22"/>
      <c r="H363" s="22"/>
    </row>
    <row r="364" spans="1:8" ht="15">
      <c r="A364" s="111">
        <f t="shared" si="24"/>
        <v>8</v>
      </c>
      <c r="B364" s="23" t="s">
        <v>128</v>
      </c>
      <c r="C364" s="23"/>
      <c r="D364" s="23"/>
      <c r="E364" s="43"/>
      <c r="F364" s="23"/>
      <c r="G364" s="188">
        <v>8796000</v>
      </c>
      <c r="H364" s="188"/>
    </row>
    <row r="365" spans="1:8" ht="15">
      <c r="A365" s="111">
        <f t="shared" si="24"/>
        <v>9</v>
      </c>
      <c r="B365" s="23" t="s">
        <v>41</v>
      </c>
      <c r="C365" s="23"/>
      <c r="D365" s="23"/>
      <c r="E365" s="43"/>
      <c r="F365" s="347"/>
      <c r="G365" s="313">
        <v>2042000</v>
      </c>
      <c r="H365" s="313"/>
    </row>
    <row r="366" spans="1:8" ht="15">
      <c r="A366" s="679"/>
      <c r="B366" s="625" t="s">
        <v>129</v>
      </c>
      <c r="C366" s="680">
        <f aca="true" t="shared" si="25" ref="C366:H366">SUM(C357:C365)</f>
        <v>62</v>
      </c>
      <c r="D366" s="680">
        <f t="shared" si="25"/>
        <v>98.48</v>
      </c>
      <c r="E366" s="680">
        <f t="shared" si="25"/>
        <v>94743</v>
      </c>
      <c r="F366" s="680">
        <f t="shared" si="25"/>
        <v>47683480</v>
      </c>
      <c r="G366" s="680">
        <f t="shared" si="25"/>
        <v>23675000</v>
      </c>
      <c r="H366" s="680">
        <f t="shared" si="25"/>
        <v>128</v>
      </c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.75">
      <c r="A368" s="1172" t="s">
        <v>240</v>
      </c>
      <c r="B368" s="1172"/>
      <c r="C368" s="1172"/>
      <c r="D368" s="1172"/>
      <c r="E368" s="1172"/>
      <c r="F368" s="1172"/>
      <c r="G368" s="1172"/>
      <c r="H368" s="1172"/>
    </row>
    <row r="369" spans="1:8" ht="15">
      <c r="A369" s="1166" t="s">
        <v>121</v>
      </c>
      <c r="B369" s="1101" t="s">
        <v>5</v>
      </c>
      <c r="C369" s="1101" t="s">
        <v>6</v>
      </c>
      <c r="D369" s="667" t="s">
        <v>7</v>
      </c>
      <c r="E369" s="668" t="s">
        <v>8</v>
      </c>
      <c r="F369" s="669" t="s">
        <v>9</v>
      </c>
      <c r="G369" s="669" t="s">
        <v>10</v>
      </c>
      <c r="H369" s="668" t="s">
        <v>11</v>
      </c>
    </row>
    <row r="370" spans="1:8" ht="15">
      <c r="A370" s="1167"/>
      <c r="B370" s="1102"/>
      <c r="C370" s="1102"/>
      <c r="D370" s="670" t="s">
        <v>12</v>
      </c>
      <c r="E370" s="671" t="s">
        <v>13</v>
      </c>
      <c r="F370" s="672" t="s">
        <v>214</v>
      </c>
      <c r="G370" s="672" t="s">
        <v>214</v>
      </c>
      <c r="H370" s="671" t="s">
        <v>15</v>
      </c>
    </row>
    <row r="371" spans="1:8" ht="15">
      <c r="A371" s="403">
        <v>1</v>
      </c>
      <c r="B371" s="310" t="s">
        <v>135</v>
      </c>
      <c r="C371" s="310"/>
      <c r="D371" s="410"/>
      <c r="E371" s="339"/>
      <c r="F371" s="366"/>
      <c r="G371" s="313">
        <v>31000</v>
      </c>
      <c r="H371" s="313"/>
    </row>
    <row r="372" spans="1:8" ht="15">
      <c r="A372" s="403">
        <v>2</v>
      </c>
      <c r="B372" s="310" t="s">
        <v>170</v>
      </c>
      <c r="C372" s="310">
        <v>37</v>
      </c>
      <c r="D372" s="410">
        <v>24.304</v>
      </c>
      <c r="E372" s="375">
        <v>904246</v>
      </c>
      <c r="F372" s="375">
        <v>271273800</v>
      </c>
      <c r="G372" s="313">
        <v>4192000</v>
      </c>
      <c r="H372" s="313">
        <v>280</v>
      </c>
    </row>
    <row r="373" spans="1:8" ht="15">
      <c r="A373" s="403">
        <v>3</v>
      </c>
      <c r="B373" s="310" t="s">
        <v>122</v>
      </c>
      <c r="C373" s="310">
        <v>49</v>
      </c>
      <c r="D373" s="410">
        <v>137.2291</v>
      </c>
      <c r="E373" s="503">
        <v>54084</v>
      </c>
      <c r="F373" s="504">
        <v>55884000</v>
      </c>
      <c r="G373" s="313">
        <v>12141000</v>
      </c>
      <c r="H373" s="313">
        <v>270</v>
      </c>
    </row>
    <row r="374" spans="1:8" ht="15">
      <c r="A374" s="403">
        <v>4</v>
      </c>
      <c r="B374" s="310" t="s">
        <v>123</v>
      </c>
      <c r="C374" s="310"/>
      <c r="D374" s="410"/>
      <c r="E374" s="576">
        <v>404300</v>
      </c>
      <c r="F374" s="557">
        <v>40430000</v>
      </c>
      <c r="G374" s="313">
        <v>4043000</v>
      </c>
      <c r="H374" s="313">
        <v>20</v>
      </c>
    </row>
    <row r="375" spans="1:8" ht="15">
      <c r="A375" s="403">
        <v>5</v>
      </c>
      <c r="B375" s="310" t="s">
        <v>124</v>
      </c>
      <c r="C375" s="310">
        <v>1124</v>
      </c>
      <c r="D375" s="410">
        <v>1909.6866999999997</v>
      </c>
      <c r="E375" s="577">
        <v>7043942</v>
      </c>
      <c r="F375" s="578">
        <v>8485296207</v>
      </c>
      <c r="G375" s="313">
        <v>1433665000</v>
      </c>
      <c r="H375" s="313">
        <v>12448</v>
      </c>
    </row>
    <row r="376" spans="1:8" ht="15">
      <c r="A376" s="403">
        <v>6</v>
      </c>
      <c r="B376" s="310" t="s">
        <v>125</v>
      </c>
      <c r="C376" s="310">
        <v>88</v>
      </c>
      <c r="D376" s="410">
        <v>83.94200000000001</v>
      </c>
      <c r="E376" s="577">
        <v>776304</v>
      </c>
      <c r="F376" s="578">
        <v>39759325</v>
      </c>
      <c r="G376" s="313">
        <v>12969600</v>
      </c>
      <c r="H376" s="313">
        <v>920</v>
      </c>
    </row>
    <row r="377" spans="1:8" ht="15.75">
      <c r="A377" s="403">
        <v>7</v>
      </c>
      <c r="B377" s="310" t="s">
        <v>126</v>
      </c>
      <c r="C377" s="310">
        <v>1</v>
      </c>
      <c r="D377" s="410">
        <v>2.25</v>
      </c>
      <c r="E377" s="503"/>
      <c r="F377" s="504"/>
      <c r="G377" s="324">
        <v>34000</v>
      </c>
      <c r="H377" s="313">
        <v>5</v>
      </c>
    </row>
    <row r="378" spans="1:8" ht="15">
      <c r="A378" s="403">
        <v>8</v>
      </c>
      <c r="B378" s="310" t="s">
        <v>128</v>
      </c>
      <c r="C378" s="310"/>
      <c r="D378" s="410"/>
      <c r="E378" s="410"/>
      <c r="F378" s="310"/>
      <c r="G378" s="313">
        <v>12902000</v>
      </c>
      <c r="H378" s="313"/>
    </row>
    <row r="379" spans="1:8" ht="15">
      <c r="A379" s="403">
        <v>9</v>
      </c>
      <c r="B379" s="310" t="s">
        <v>41</v>
      </c>
      <c r="C379" s="310"/>
      <c r="D379" s="410"/>
      <c r="E379" s="410"/>
      <c r="F379" s="310"/>
      <c r="G379" s="313">
        <v>56976400</v>
      </c>
      <c r="H379" s="313"/>
    </row>
    <row r="380" spans="1:8" ht="15">
      <c r="A380" s="699"/>
      <c r="B380" s="625" t="s">
        <v>129</v>
      </c>
      <c r="C380" s="699">
        <f aca="true" t="shared" si="26" ref="C380:H380">SUM(C371:C379)</f>
        <v>1299</v>
      </c>
      <c r="D380" s="700">
        <f t="shared" si="26"/>
        <v>2157.4118</v>
      </c>
      <c r="E380" s="701">
        <f t="shared" si="26"/>
        <v>9182876</v>
      </c>
      <c r="F380" s="701">
        <f t="shared" si="26"/>
        <v>8892643332</v>
      </c>
      <c r="G380" s="702">
        <f t="shared" si="26"/>
        <v>1536954000</v>
      </c>
      <c r="H380" s="703">
        <f t="shared" si="26"/>
        <v>13943</v>
      </c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8.75" customHeight="1">
      <c r="A383" s="1173" t="s">
        <v>241</v>
      </c>
      <c r="B383" s="1173"/>
      <c r="C383" s="1173"/>
      <c r="D383" s="1173"/>
      <c r="E383" s="1173"/>
      <c r="F383" s="1173"/>
      <c r="G383" s="1173"/>
      <c r="H383" s="1173"/>
    </row>
    <row r="384" spans="1:8" ht="15">
      <c r="A384" s="1166" t="s">
        <v>121</v>
      </c>
      <c r="B384" s="1101" t="s">
        <v>5</v>
      </c>
      <c r="C384" s="1101" t="s">
        <v>6</v>
      </c>
      <c r="D384" s="667" t="s">
        <v>7</v>
      </c>
      <c r="E384" s="668" t="s">
        <v>8</v>
      </c>
      <c r="F384" s="669" t="s">
        <v>9</v>
      </c>
      <c r="G384" s="669" t="s">
        <v>10</v>
      </c>
      <c r="H384" s="668" t="s">
        <v>11</v>
      </c>
    </row>
    <row r="385" spans="1:8" ht="15">
      <c r="A385" s="1167"/>
      <c r="B385" s="1102"/>
      <c r="C385" s="1102"/>
      <c r="D385" s="670" t="s">
        <v>12</v>
      </c>
      <c r="E385" s="671" t="s">
        <v>13</v>
      </c>
      <c r="F385" s="672" t="s">
        <v>214</v>
      </c>
      <c r="G385" s="672" t="s">
        <v>214</v>
      </c>
      <c r="H385" s="671" t="s">
        <v>15</v>
      </c>
    </row>
    <row r="386" spans="1:8" ht="15.75">
      <c r="A386" s="111">
        <v>1</v>
      </c>
      <c r="B386" s="16" t="s">
        <v>135</v>
      </c>
      <c r="C386" s="23"/>
      <c r="D386" s="337"/>
      <c r="E386" s="339">
        <v>30450</v>
      </c>
      <c r="F386" s="324">
        <v>30450000</v>
      </c>
      <c r="G386" s="307">
        <v>709100</v>
      </c>
      <c r="H386" s="22">
        <v>30</v>
      </c>
    </row>
    <row r="387" spans="1:8" ht="15.75">
      <c r="A387" s="111">
        <v>2</v>
      </c>
      <c r="B387" s="16" t="s">
        <v>123</v>
      </c>
      <c r="C387" s="185"/>
      <c r="D387" s="227"/>
      <c r="E387" s="187">
        <v>7204128</v>
      </c>
      <c r="F387" s="187">
        <v>575806400</v>
      </c>
      <c r="G387" s="185">
        <v>181909200</v>
      </c>
      <c r="H387" s="188">
        <v>406</v>
      </c>
    </row>
    <row r="388" spans="1:8" ht="15.75">
      <c r="A388" s="111">
        <v>3</v>
      </c>
      <c r="B388" s="16" t="s">
        <v>125</v>
      </c>
      <c r="C388" s="23">
        <v>126</v>
      </c>
      <c r="D388" s="31">
        <v>90.12000000000002</v>
      </c>
      <c r="E388" s="43">
        <v>1453551</v>
      </c>
      <c r="F388" s="43">
        <v>113833250</v>
      </c>
      <c r="G388" s="23">
        <v>5855207</v>
      </c>
      <c r="H388" s="22">
        <v>328</v>
      </c>
    </row>
    <row r="389" spans="1:8" ht="15">
      <c r="A389" s="111">
        <v>4</v>
      </c>
      <c r="B389" s="23" t="s">
        <v>145</v>
      </c>
      <c r="C389" s="23"/>
      <c r="D389" s="23"/>
      <c r="E389" s="43">
        <v>210000</v>
      </c>
      <c r="F389" s="23">
        <v>31500000</v>
      </c>
      <c r="G389" s="22">
        <v>525000</v>
      </c>
      <c r="H389" s="22">
        <v>90</v>
      </c>
    </row>
    <row r="390" spans="1:8" ht="15">
      <c r="A390" s="111">
        <v>5</v>
      </c>
      <c r="B390" s="23" t="s">
        <v>148</v>
      </c>
      <c r="C390" s="23"/>
      <c r="D390" s="23"/>
      <c r="E390" s="43">
        <v>41062</v>
      </c>
      <c r="F390" s="23">
        <v>6159300</v>
      </c>
      <c r="G390" s="22">
        <v>789000</v>
      </c>
      <c r="H390" s="22">
        <v>50</v>
      </c>
    </row>
    <row r="391" spans="1:8" ht="15">
      <c r="A391" s="111">
        <v>6</v>
      </c>
      <c r="B391" s="23" t="s">
        <v>128</v>
      </c>
      <c r="C391" s="23"/>
      <c r="D391" s="337"/>
      <c r="E391" s="410"/>
      <c r="F391" s="339"/>
      <c r="G391" s="307">
        <v>8947000</v>
      </c>
      <c r="H391" s="22"/>
    </row>
    <row r="392" spans="1:8" ht="15">
      <c r="A392" s="111">
        <v>7</v>
      </c>
      <c r="B392" s="23" t="s">
        <v>41</v>
      </c>
      <c r="C392" s="23"/>
      <c r="D392" s="31"/>
      <c r="E392" s="42"/>
      <c r="F392" s="43"/>
      <c r="G392" s="23">
        <v>20053200</v>
      </c>
      <c r="H392" s="22"/>
    </row>
    <row r="393" spans="1:8" ht="18.75">
      <c r="A393" s="412"/>
      <c r="B393" s="23"/>
      <c r="C393" s="411"/>
      <c r="D393" s="411"/>
      <c r="E393" s="411"/>
      <c r="F393" s="411"/>
      <c r="G393" s="411"/>
      <c r="H393" s="411"/>
    </row>
    <row r="394" spans="1:8" ht="15">
      <c r="A394" s="679"/>
      <c r="B394" s="682" t="s">
        <v>129</v>
      </c>
      <c r="C394" s="683">
        <f>SUM(C386:C391)</f>
        <v>126</v>
      </c>
      <c r="D394" s="684">
        <f>SUM(D386:D391)</f>
        <v>90.12000000000002</v>
      </c>
      <c r="E394" s="685">
        <f>SUM(E386:E391)</f>
        <v>8939191</v>
      </c>
      <c r="F394" s="686">
        <f>SUM(F386:F391)</f>
        <v>757748950</v>
      </c>
      <c r="G394" s="687">
        <f>SUM(G386:G393)</f>
        <v>218787707</v>
      </c>
      <c r="H394" s="688">
        <f>SUM(H386:H391)</f>
        <v>904</v>
      </c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.75">
      <c r="A396" s="1172" t="s">
        <v>242</v>
      </c>
      <c r="B396" s="1172"/>
      <c r="C396" s="1172"/>
      <c r="D396" s="1172"/>
      <c r="E396" s="1172"/>
      <c r="F396" s="1172"/>
      <c r="G396" s="1172"/>
      <c r="H396" s="1172"/>
    </row>
    <row r="397" spans="1:8" ht="15">
      <c r="A397" s="1166" t="s">
        <v>121</v>
      </c>
      <c r="B397" s="1101" t="s">
        <v>5</v>
      </c>
      <c r="C397" s="1101" t="s">
        <v>6</v>
      </c>
      <c r="D397" s="667" t="s">
        <v>7</v>
      </c>
      <c r="E397" s="668" t="s">
        <v>8</v>
      </c>
      <c r="F397" s="669" t="s">
        <v>9</v>
      </c>
      <c r="G397" s="669" t="s">
        <v>10</v>
      </c>
      <c r="H397" s="668" t="s">
        <v>11</v>
      </c>
    </row>
    <row r="398" spans="1:8" ht="15">
      <c r="A398" s="1167"/>
      <c r="B398" s="1102"/>
      <c r="C398" s="1102"/>
      <c r="D398" s="670" t="s">
        <v>12</v>
      </c>
      <c r="E398" s="671" t="s">
        <v>13</v>
      </c>
      <c r="F398" s="672" t="s">
        <v>214</v>
      </c>
      <c r="G398" s="672" t="s">
        <v>214</v>
      </c>
      <c r="H398" s="671" t="s">
        <v>15</v>
      </c>
    </row>
    <row r="399" spans="1:8" ht="15">
      <c r="A399" s="110">
        <v>1</v>
      </c>
      <c r="B399" s="23" t="s">
        <v>135</v>
      </c>
      <c r="C399" s="406"/>
      <c r="D399" s="407"/>
      <c r="E399" s="316">
        <v>5373375</v>
      </c>
      <c r="F399" s="317">
        <v>4594235625</v>
      </c>
      <c r="G399" s="318">
        <v>121911000</v>
      </c>
      <c r="H399" s="22">
        <v>3560</v>
      </c>
    </row>
    <row r="400" spans="1:8" ht="15">
      <c r="A400" s="110">
        <v>2</v>
      </c>
      <c r="B400" s="23" t="s">
        <v>184</v>
      </c>
      <c r="C400" s="317">
        <v>1</v>
      </c>
      <c r="D400" s="320"/>
      <c r="E400" s="316">
        <v>195</v>
      </c>
      <c r="F400" s="317">
        <v>2925000</v>
      </c>
      <c r="G400" s="318">
        <v>131000</v>
      </c>
      <c r="H400" s="22">
        <v>15</v>
      </c>
    </row>
    <row r="401" spans="1:8" ht="15.75">
      <c r="A401" s="111">
        <v>3</v>
      </c>
      <c r="B401" s="23" t="s">
        <v>128</v>
      </c>
      <c r="C401" s="334"/>
      <c r="D401" s="335"/>
      <c r="E401" s="335"/>
      <c r="F401" s="336"/>
      <c r="G401" s="318">
        <v>5680000</v>
      </c>
      <c r="H401" s="175"/>
    </row>
    <row r="402" spans="1:8" ht="15">
      <c r="A402" s="111">
        <v>4</v>
      </c>
      <c r="B402" s="23" t="s">
        <v>41</v>
      </c>
      <c r="C402" s="317"/>
      <c r="D402" s="320"/>
      <c r="E402" s="316"/>
      <c r="F402" s="317"/>
      <c r="G402" s="318">
        <v>3327000</v>
      </c>
      <c r="H402" s="22"/>
    </row>
    <row r="403" spans="1:8" ht="15.75">
      <c r="A403" s="698"/>
      <c r="B403" s="696" t="s">
        <v>129</v>
      </c>
      <c r="C403" s="693">
        <f aca="true" t="shared" si="27" ref="C403:H403">SUM(C399:C402)</f>
        <v>1</v>
      </c>
      <c r="D403" s="693">
        <f t="shared" si="27"/>
        <v>0</v>
      </c>
      <c r="E403" s="693">
        <f t="shared" si="27"/>
        <v>5373570</v>
      </c>
      <c r="F403" s="693">
        <f t="shared" si="27"/>
        <v>4597160625</v>
      </c>
      <c r="G403" s="693">
        <f t="shared" si="27"/>
        <v>131049000</v>
      </c>
      <c r="H403" s="693">
        <f t="shared" si="27"/>
        <v>3575</v>
      </c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.75">
      <c r="A405" s="1172" t="s">
        <v>243</v>
      </c>
      <c r="B405" s="1172"/>
      <c r="C405" s="1172"/>
      <c r="D405" s="1172"/>
      <c r="E405" s="1172"/>
      <c r="F405" s="1172"/>
      <c r="G405" s="1172"/>
      <c r="H405" s="1172"/>
    </row>
    <row r="406" spans="1:8" ht="15">
      <c r="A406" s="1166" t="s">
        <v>121</v>
      </c>
      <c r="B406" s="1101" t="s">
        <v>5</v>
      </c>
      <c r="C406" s="1101" t="s">
        <v>6</v>
      </c>
      <c r="D406" s="667" t="s">
        <v>7</v>
      </c>
      <c r="E406" s="668" t="s">
        <v>8</v>
      </c>
      <c r="F406" s="669" t="s">
        <v>9</v>
      </c>
      <c r="G406" s="669" t="s">
        <v>10</v>
      </c>
      <c r="H406" s="668" t="s">
        <v>11</v>
      </c>
    </row>
    <row r="407" spans="1:8" ht="15">
      <c r="A407" s="1167"/>
      <c r="B407" s="1102"/>
      <c r="C407" s="1102"/>
      <c r="D407" s="670" t="s">
        <v>12</v>
      </c>
      <c r="E407" s="671" t="s">
        <v>13</v>
      </c>
      <c r="F407" s="672" t="s">
        <v>214</v>
      </c>
      <c r="G407" s="672" t="s">
        <v>214</v>
      </c>
      <c r="H407" s="671" t="s">
        <v>15</v>
      </c>
    </row>
    <row r="408" spans="1:8" ht="15">
      <c r="A408" s="110">
        <v>1</v>
      </c>
      <c r="B408" s="23" t="s">
        <v>177</v>
      </c>
      <c r="C408" s="23">
        <v>2</v>
      </c>
      <c r="D408" s="42">
        <v>8</v>
      </c>
      <c r="E408" s="43"/>
      <c r="F408" s="22"/>
      <c r="G408" s="61"/>
      <c r="H408" s="22"/>
    </row>
    <row r="409" spans="1:8" ht="13.5" customHeight="1">
      <c r="A409" s="110">
        <v>2</v>
      </c>
      <c r="B409" s="23" t="s">
        <v>137</v>
      </c>
      <c r="C409" s="23">
        <v>2</v>
      </c>
      <c r="D409" s="42">
        <v>651.885</v>
      </c>
      <c r="E409" s="43">
        <v>1392</v>
      </c>
      <c r="F409" s="22">
        <v>556800</v>
      </c>
      <c r="G409" s="734">
        <v>1028000</v>
      </c>
      <c r="H409" s="22">
        <v>10</v>
      </c>
    </row>
    <row r="410" spans="1:8" ht="15">
      <c r="A410" s="110">
        <v>3</v>
      </c>
      <c r="B410" s="23" t="s">
        <v>124</v>
      </c>
      <c r="C410" s="23">
        <v>24</v>
      </c>
      <c r="D410" s="42">
        <v>466.3852</v>
      </c>
      <c r="E410" s="43">
        <v>99040</v>
      </c>
      <c r="F410" s="22">
        <v>89136000</v>
      </c>
      <c r="G410" s="734">
        <v>14678000</v>
      </c>
      <c r="H410" s="22">
        <v>45</v>
      </c>
    </row>
    <row r="411" spans="1:8" ht="15">
      <c r="A411" s="110">
        <v>4</v>
      </c>
      <c r="B411" s="23" t="s">
        <v>122</v>
      </c>
      <c r="C411" s="23">
        <v>2</v>
      </c>
      <c r="D411" s="42">
        <v>2</v>
      </c>
      <c r="E411" s="43"/>
      <c r="F411" s="22"/>
      <c r="G411" s="734"/>
      <c r="H411" s="22"/>
    </row>
    <row r="412" spans="1:8" ht="15">
      <c r="A412" s="110">
        <v>5</v>
      </c>
      <c r="B412" s="23" t="s">
        <v>131</v>
      </c>
      <c r="C412" s="23">
        <v>31</v>
      </c>
      <c r="D412" s="42">
        <v>31</v>
      </c>
      <c r="E412" s="43">
        <v>11984</v>
      </c>
      <c r="F412" s="22">
        <v>2696400</v>
      </c>
      <c r="G412" s="734">
        <v>1305000</v>
      </c>
      <c r="H412" s="22">
        <v>9</v>
      </c>
    </row>
    <row r="413" spans="1:8" ht="15">
      <c r="A413" s="110">
        <v>6</v>
      </c>
      <c r="B413" s="23" t="s">
        <v>125</v>
      </c>
      <c r="C413" s="23">
        <v>476</v>
      </c>
      <c r="D413" s="42">
        <v>476</v>
      </c>
      <c r="E413" s="43">
        <v>1205456</v>
      </c>
      <c r="F413" s="22">
        <v>210954800</v>
      </c>
      <c r="G413" s="734">
        <v>265224000</v>
      </c>
      <c r="H413" s="22">
        <v>2200</v>
      </c>
    </row>
    <row r="414" spans="1:8" ht="15">
      <c r="A414" s="110">
        <v>7</v>
      </c>
      <c r="B414" s="23" t="s">
        <v>123</v>
      </c>
      <c r="C414" s="23"/>
      <c r="D414" s="42"/>
      <c r="E414" s="375">
        <v>2139000</v>
      </c>
      <c r="F414" s="375">
        <v>427800000</v>
      </c>
      <c r="G414" s="734">
        <v>45903000</v>
      </c>
      <c r="H414" s="22"/>
    </row>
    <row r="415" spans="1:8" ht="15">
      <c r="A415" s="110">
        <v>8</v>
      </c>
      <c r="B415" s="23" t="s">
        <v>135</v>
      </c>
      <c r="C415" s="23"/>
      <c r="D415" s="42"/>
      <c r="E415" s="43"/>
      <c r="F415" s="22"/>
      <c r="G415" s="734">
        <v>18571000</v>
      </c>
      <c r="H415" s="22"/>
    </row>
    <row r="416" spans="1:8" ht="15">
      <c r="A416" s="110">
        <v>9</v>
      </c>
      <c r="B416" s="23" t="s">
        <v>128</v>
      </c>
      <c r="C416" s="23"/>
      <c r="D416" s="42"/>
      <c r="E416" s="43"/>
      <c r="F416" s="23"/>
      <c r="G416" s="734">
        <v>20678000</v>
      </c>
      <c r="H416" s="22"/>
    </row>
    <row r="417" spans="1:8" ht="15">
      <c r="A417" s="110">
        <v>10</v>
      </c>
      <c r="B417" s="23" t="s">
        <v>41</v>
      </c>
      <c r="C417" s="23"/>
      <c r="D417" s="42"/>
      <c r="E417" s="43"/>
      <c r="F417" s="23"/>
      <c r="G417" s="294">
        <v>56630000</v>
      </c>
      <c r="H417" s="22"/>
    </row>
    <row r="418" spans="1:8" ht="15.75">
      <c r="A418" s="689"/>
      <c r="B418" s="696" t="s">
        <v>129</v>
      </c>
      <c r="C418" s="620">
        <f aca="true" t="shared" si="28" ref="C418:H418">SUM(C408:C417)</f>
        <v>537</v>
      </c>
      <c r="D418" s="697">
        <f t="shared" si="28"/>
        <v>1635.2702</v>
      </c>
      <c r="E418" s="620">
        <f t="shared" si="28"/>
        <v>3456872</v>
      </c>
      <c r="F418" s="620">
        <f t="shared" si="28"/>
        <v>731144000</v>
      </c>
      <c r="G418" s="621">
        <f t="shared" si="28"/>
        <v>424017000</v>
      </c>
      <c r="H418" s="621">
        <f t="shared" si="28"/>
        <v>2264</v>
      </c>
    </row>
    <row r="419" spans="1:8" ht="15">
      <c r="A419" s="173"/>
      <c r="B419" s="173"/>
      <c r="C419" s="173"/>
      <c r="D419" s="173"/>
      <c r="E419" s="173"/>
      <c r="F419" s="173"/>
      <c r="G419" s="173"/>
      <c r="H419" s="173"/>
    </row>
    <row r="420" spans="1:8" ht="15.75">
      <c r="A420" s="1172" t="s">
        <v>244</v>
      </c>
      <c r="B420" s="1172"/>
      <c r="C420" s="1172"/>
      <c r="D420" s="1172"/>
      <c r="E420" s="1172"/>
      <c r="F420" s="1172"/>
      <c r="G420" s="1172"/>
      <c r="H420" s="1172"/>
    </row>
    <row r="421" spans="1:8" ht="15">
      <c r="A421" s="1166" t="s">
        <v>121</v>
      </c>
      <c r="B421" s="1101" t="s">
        <v>5</v>
      </c>
      <c r="C421" s="1101" t="s">
        <v>6</v>
      </c>
      <c r="D421" s="667" t="s">
        <v>7</v>
      </c>
      <c r="E421" s="668" t="s">
        <v>8</v>
      </c>
      <c r="F421" s="669" t="s">
        <v>9</v>
      </c>
      <c r="G421" s="669" t="s">
        <v>10</v>
      </c>
      <c r="H421" s="668" t="s">
        <v>11</v>
      </c>
    </row>
    <row r="422" spans="1:8" ht="15">
      <c r="A422" s="1167"/>
      <c r="B422" s="1102"/>
      <c r="C422" s="1102"/>
      <c r="D422" s="670" t="s">
        <v>12</v>
      </c>
      <c r="E422" s="671" t="s">
        <v>13</v>
      </c>
      <c r="F422" s="672" t="s">
        <v>214</v>
      </c>
      <c r="G422" s="672" t="s">
        <v>214</v>
      </c>
      <c r="H422" s="671" t="s">
        <v>15</v>
      </c>
    </row>
    <row r="423" spans="1:8" ht="15">
      <c r="A423" s="110">
        <v>1</v>
      </c>
      <c r="B423" s="23" t="s">
        <v>124</v>
      </c>
      <c r="C423" s="20">
        <v>83</v>
      </c>
      <c r="D423" s="32">
        <v>90.11</v>
      </c>
      <c r="E423" s="22">
        <v>622706</v>
      </c>
      <c r="F423" s="22">
        <v>591570700</v>
      </c>
      <c r="G423" s="46">
        <v>52167000</v>
      </c>
      <c r="H423" s="20">
        <v>2480</v>
      </c>
    </row>
    <row r="424" spans="1:8" ht="15">
      <c r="A424" s="111">
        <f>+A423+1</f>
        <v>2</v>
      </c>
      <c r="B424" s="23" t="s">
        <v>122</v>
      </c>
      <c r="C424" s="20">
        <v>48</v>
      </c>
      <c r="D424" s="32">
        <v>101.14</v>
      </c>
      <c r="E424" s="22">
        <v>122986</v>
      </c>
      <c r="F424" s="22">
        <v>110687400</v>
      </c>
      <c r="G424" s="46">
        <v>25926000</v>
      </c>
      <c r="H424" s="20">
        <v>755</v>
      </c>
    </row>
    <row r="425" spans="1:8" ht="15">
      <c r="A425" s="111">
        <f>+A424+1</f>
        <v>3</v>
      </c>
      <c r="B425" s="23" t="s">
        <v>180</v>
      </c>
      <c r="C425" s="20">
        <v>9</v>
      </c>
      <c r="D425" s="32">
        <v>14.72</v>
      </c>
      <c r="E425" s="22">
        <v>17222</v>
      </c>
      <c r="F425" s="22">
        <v>2583300</v>
      </c>
      <c r="G425" s="46">
        <v>1118000</v>
      </c>
      <c r="H425" s="20">
        <v>140</v>
      </c>
    </row>
    <row r="426" spans="1:8" ht="15">
      <c r="A426" s="111">
        <f>+A425+1</f>
        <v>4</v>
      </c>
      <c r="B426" s="23" t="s">
        <v>181</v>
      </c>
      <c r="C426" s="20">
        <v>27</v>
      </c>
      <c r="D426" s="32">
        <v>26.18</v>
      </c>
      <c r="E426" s="22">
        <v>197304</v>
      </c>
      <c r="F426" s="22">
        <v>23676480</v>
      </c>
      <c r="G426" s="46">
        <v>5109000</v>
      </c>
      <c r="H426" s="20">
        <v>780</v>
      </c>
    </row>
    <row r="427" spans="1:8" ht="15">
      <c r="A427" s="111">
        <f>+A426+1</f>
        <v>5</v>
      </c>
      <c r="B427" s="23" t="s">
        <v>143</v>
      </c>
      <c r="C427" s="20">
        <v>92</v>
      </c>
      <c r="D427" s="32">
        <v>91.88</v>
      </c>
      <c r="E427" s="22">
        <v>672839</v>
      </c>
      <c r="F427" s="22">
        <v>100925850</v>
      </c>
      <c r="G427" s="46">
        <v>31774922</v>
      </c>
      <c r="H427" s="20">
        <v>1020</v>
      </c>
    </row>
    <row r="428" spans="1:8" ht="15">
      <c r="A428" s="136">
        <v>6</v>
      </c>
      <c r="B428" s="23" t="s">
        <v>123</v>
      </c>
      <c r="C428" s="221"/>
      <c r="D428" s="222"/>
      <c r="E428" s="20">
        <v>815825</v>
      </c>
      <c r="F428" s="32">
        <v>138690250</v>
      </c>
      <c r="G428" s="22">
        <v>17954180</v>
      </c>
      <c r="H428" s="22">
        <v>840</v>
      </c>
    </row>
    <row r="429" spans="1:8" ht="15">
      <c r="A429" s="110">
        <v>7</v>
      </c>
      <c r="B429" s="23" t="s">
        <v>135</v>
      </c>
      <c r="C429" s="221"/>
      <c r="D429" s="222"/>
      <c r="E429" s="221"/>
      <c r="F429" s="222"/>
      <c r="G429" s="188"/>
      <c r="H429" s="188"/>
    </row>
    <row r="430" spans="1:8" ht="15">
      <c r="A430" s="111">
        <v>8</v>
      </c>
      <c r="B430" s="23" t="s">
        <v>128</v>
      </c>
      <c r="C430" s="221"/>
      <c r="D430" s="222"/>
      <c r="E430" s="188"/>
      <c r="F430" s="188"/>
      <c r="G430" s="223">
        <v>15742000</v>
      </c>
      <c r="H430" s="221"/>
    </row>
    <row r="431" spans="1:8" ht="15">
      <c r="A431" s="111">
        <v>9</v>
      </c>
      <c r="B431" s="23" t="s">
        <v>41</v>
      </c>
      <c r="C431" s="221"/>
      <c r="D431" s="222"/>
      <c r="E431" s="188"/>
      <c r="F431" s="188"/>
      <c r="G431" s="223">
        <v>18548151</v>
      </c>
      <c r="H431" s="221"/>
    </row>
    <row r="432" spans="1:8" ht="15">
      <c r="A432" s="689"/>
      <c r="B432" s="623" t="s">
        <v>129</v>
      </c>
      <c r="C432" s="690">
        <f aca="true" t="shared" si="29" ref="C432:H432">SUM(C423:C431)</f>
        <v>259</v>
      </c>
      <c r="D432" s="691">
        <f t="shared" si="29"/>
        <v>324.03</v>
      </c>
      <c r="E432" s="692">
        <f t="shared" si="29"/>
        <v>2448882</v>
      </c>
      <c r="F432" s="693">
        <f t="shared" si="29"/>
        <v>968133980</v>
      </c>
      <c r="G432" s="694">
        <f t="shared" si="29"/>
        <v>168339253</v>
      </c>
      <c r="H432" s="695">
        <f t="shared" si="29"/>
        <v>6015</v>
      </c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20.25" customHeight="1">
      <c r="A434" s="1173" t="s">
        <v>245</v>
      </c>
      <c r="B434" s="1173"/>
      <c r="C434" s="1173"/>
      <c r="D434" s="1173"/>
      <c r="E434" s="1173"/>
      <c r="F434" s="1173"/>
      <c r="G434" s="1173"/>
      <c r="H434" s="1173"/>
    </row>
    <row r="435" spans="1:8" ht="15">
      <c r="A435" s="1166" t="s">
        <v>121</v>
      </c>
      <c r="B435" s="1101" t="s">
        <v>5</v>
      </c>
      <c r="C435" s="1101" t="s">
        <v>6</v>
      </c>
      <c r="D435" s="667" t="s">
        <v>7</v>
      </c>
      <c r="E435" s="668" t="s">
        <v>8</v>
      </c>
      <c r="F435" s="669" t="s">
        <v>9</v>
      </c>
      <c r="G435" s="669" t="s">
        <v>10</v>
      </c>
      <c r="H435" s="668" t="s">
        <v>11</v>
      </c>
    </row>
    <row r="436" spans="1:8" ht="15">
      <c r="A436" s="1167"/>
      <c r="B436" s="1102"/>
      <c r="C436" s="1102"/>
      <c r="D436" s="670" t="s">
        <v>12</v>
      </c>
      <c r="E436" s="671" t="s">
        <v>13</v>
      </c>
      <c r="F436" s="672" t="s">
        <v>214</v>
      </c>
      <c r="G436" s="672" t="s">
        <v>214</v>
      </c>
      <c r="H436" s="671" t="s">
        <v>15</v>
      </c>
    </row>
    <row r="437" spans="1:8" ht="15.75">
      <c r="A437" s="111">
        <v>1</v>
      </c>
      <c r="B437" s="16" t="s">
        <v>183</v>
      </c>
      <c r="C437" s="23">
        <v>28</v>
      </c>
      <c r="D437" s="337">
        <v>30.21</v>
      </c>
      <c r="E437" s="339">
        <v>8950</v>
      </c>
      <c r="F437" s="324">
        <v>1790000</v>
      </c>
      <c r="G437" s="338">
        <v>358000</v>
      </c>
      <c r="H437" s="22">
        <v>50</v>
      </c>
    </row>
    <row r="438" spans="1:8" ht="15.75">
      <c r="A438" s="111">
        <v>2</v>
      </c>
      <c r="B438" s="16" t="s">
        <v>127</v>
      </c>
      <c r="C438" s="23">
        <v>3</v>
      </c>
      <c r="D438" s="337">
        <v>2.65</v>
      </c>
      <c r="E438" s="339">
        <v>1200</v>
      </c>
      <c r="F438" s="339">
        <v>240000</v>
      </c>
      <c r="G438" s="307">
        <v>72000</v>
      </c>
      <c r="H438" s="22">
        <v>5</v>
      </c>
    </row>
    <row r="439" spans="1:8" ht="15.75">
      <c r="A439" s="111">
        <v>3</v>
      </c>
      <c r="B439" s="16" t="s">
        <v>125</v>
      </c>
      <c r="C439" s="23">
        <v>60</v>
      </c>
      <c r="D439" s="337">
        <v>89.08</v>
      </c>
      <c r="E439" s="339">
        <v>716929</v>
      </c>
      <c r="F439" s="339">
        <v>12250550</v>
      </c>
      <c r="G439" s="307">
        <v>4304793</v>
      </c>
      <c r="H439" s="22">
        <v>192</v>
      </c>
    </row>
    <row r="440" spans="1:8" ht="15.75">
      <c r="A440" s="111">
        <v>4</v>
      </c>
      <c r="B440" s="16" t="s">
        <v>135</v>
      </c>
      <c r="C440" s="23"/>
      <c r="D440" s="337"/>
      <c r="E440" s="339">
        <v>110105</v>
      </c>
      <c r="F440" s="324">
        <v>110105000</v>
      </c>
      <c r="G440" s="307">
        <v>1981900</v>
      </c>
      <c r="H440" s="22">
        <v>90</v>
      </c>
    </row>
    <row r="441" spans="1:8" ht="15.75">
      <c r="A441" s="111">
        <v>5</v>
      </c>
      <c r="B441" s="16" t="s">
        <v>123</v>
      </c>
      <c r="C441" s="23"/>
      <c r="D441" s="337"/>
      <c r="E441" s="339">
        <v>7572192</v>
      </c>
      <c r="F441" s="339">
        <v>378609600</v>
      </c>
      <c r="G441" s="307">
        <v>189304800</v>
      </c>
      <c r="H441" s="22">
        <v>429</v>
      </c>
    </row>
    <row r="442" spans="1:8" ht="15">
      <c r="A442" s="111">
        <v>6</v>
      </c>
      <c r="B442" s="23" t="s">
        <v>128</v>
      </c>
      <c r="C442" s="185"/>
      <c r="D442" s="227"/>
      <c r="E442" s="329"/>
      <c r="F442" s="330"/>
      <c r="G442" s="185">
        <v>7883000</v>
      </c>
      <c r="H442" s="188"/>
    </row>
    <row r="443" spans="1:8" ht="15">
      <c r="A443" s="111">
        <v>7</v>
      </c>
      <c r="B443" s="23" t="s">
        <v>41</v>
      </c>
      <c r="C443" s="185"/>
      <c r="D443" s="227"/>
      <c r="E443" s="186"/>
      <c r="F443" s="187"/>
      <c r="G443" s="185">
        <v>30079800</v>
      </c>
      <c r="H443" s="188"/>
    </row>
    <row r="444" spans="1:8" ht="18.75">
      <c r="A444" s="408"/>
      <c r="B444" s="411"/>
      <c r="C444" s="411"/>
      <c r="D444" s="411"/>
      <c r="E444" s="411"/>
      <c r="F444" s="411"/>
      <c r="G444" s="411"/>
      <c r="H444" s="411"/>
    </row>
    <row r="445" spans="1:8" ht="15">
      <c r="A445" s="679"/>
      <c r="B445" s="682" t="s">
        <v>129</v>
      </c>
      <c r="C445" s="683">
        <f>SUM(C437:C442)</f>
        <v>91</v>
      </c>
      <c r="D445" s="684">
        <f>SUM(D437:D442)</f>
        <v>121.94</v>
      </c>
      <c r="E445" s="685">
        <f>SUM(E437:E442)</f>
        <v>8409376</v>
      </c>
      <c r="F445" s="686">
        <f>SUM(F437:F442)</f>
        <v>502995150</v>
      </c>
      <c r="G445" s="687">
        <f>SUM(G437:G443)</f>
        <v>233984293</v>
      </c>
      <c r="H445" s="688">
        <f>SUM(H437:H442)</f>
        <v>766</v>
      </c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1173" t="s">
        <v>246</v>
      </c>
      <c r="B447" s="1173"/>
      <c r="C447" s="1173"/>
      <c r="D447" s="1173"/>
      <c r="E447" s="1173"/>
      <c r="F447" s="1173"/>
      <c r="G447" s="1173"/>
      <c r="H447" s="1173"/>
    </row>
    <row r="448" spans="1:8" ht="15">
      <c r="A448" s="1166" t="s">
        <v>121</v>
      </c>
      <c r="B448" s="1101" t="s">
        <v>5</v>
      </c>
      <c r="C448" s="1101" t="s">
        <v>6</v>
      </c>
      <c r="D448" s="667" t="s">
        <v>7</v>
      </c>
      <c r="E448" s="668" t="s">
        <v>8</v>
      </c>
      <c r="F448" s="669" t="s">
        <v>9</v>
      </c>
      <c r="G448" s="669" t="s">
        <v>10</v>
      </c>
      <c r="H448" s="668" t="s">
        <v>11</v>
      </c>
    </row>
    <row r="449" spans="1:8" ht="15">
      <c r="A449" s="1167"/>
      <c r="B449" s="1102"/>
      <c r="C449" s="1102"/>
      <c r="D449" s="670" t="s">
        <v>12</v>
      </c>
      <c r="E449" s="671" t="s">
        <v>13</v>
      </c>
      <c r="F449" s="672" t="s">
        <v>214</v>
      </c>
      <c r="G449" s="672" t="s">
        <v>214</v>
      </c>
      <c r="H449" s="671" t="s">
        <v>15</v>
      </c>
    </row>
    <row r="450" spans="1:8" ht="15.75">
      <c r="A450" s="403">
        <v>1</v>
      </c>
      <c r="B450" s="367" t="s">
        <v>122</v>
      </c>
      <c r="C450" s="310">
        <v>3</v>
      </c>
      <c r="D450" s="367">
        <v>3.25</v>
      </c>
      <c r="E450" s="339">
        <v>3966</v>
      </c>
      <c r="F450" s="339">
        <v>5949000</v>
      </c>
      <c r="G450" s="310">
        <v>694000</v>
      </c>
      <c r="H450" s="313">
        <v>100</v>
      </c>
    </row>
    <row r="451" spans="1:8" ht="15.75">
      <c r="A451" s="403">
        <v>2</v>
      </c>
      <c r="B451" s="367" t="s">
        <v>123</v>
      </c>
      <c r="C451" s="310"/>
      <c r="D451" s="367"/>
      <c r="E451" s="339">
        <v>5742786</v>
      </c>
      <c r="F451" s="339">
        <v>1722720200</v>
      </c>
      <c r="G451" s="339">
        <v>57486960</v>
      </c>
      <c r="H451" s="313">
        <v>680</v>
      </c>
    </row>
    <row r="452" spans="1:8" ht="15.75">
      <c r="A452" s="403">
        <v>3</v>
      </c>
      <c r="B452" s="367" t="s">
        <v>137</v>
      </c>
      <c r="C452" s="310">
        <v>10</v>
      </c>
      <c r="D452" s="367">
        <v>16.31</v>
      </c>
      <c r="E452" s="339">
        <v>379923</v>
      </c>
      <c r="F452" s="339">
        <v>208957650</v>
      </c>
      <c r="G452" s="310">
        <v>24695000</v>
      </c>
      <c r="H452" s="313">
        <v>600</v>
      </c>
    </row>
    <row r="453" spans="1:8" ht="15.75">
      <c r="A453" s="403">
        <v>4</v>
      </c>
      <c r="B453" s="367" t="s">
        <v>124</v>
      </c>
      <c r="C453" s="310">
        <v>115</v>
      </c>
      <c r="D453" s="367">
        <v>170.95</v>
      </c>
      <c r="E453" s="339">
        <v>323875</v>
      </c>
      <c r="F453" s="339">
        <v>358973700</v>
      </c>
      <c r="G453" s="310">
        <v>65822000</v>
      </c>
      <c r="H453" s="313">
        <v>650</v>
      </c>
    </row>
    <row r="454" spans="1:8" ht="15.75">
      <c r="A454" s="403">
        <v>5</v>
      </c>
      <c r="B454" s="367" t="s">
        <v>125</v>
      </c>
      <c r="C454" s="310">
        <v>163</v>
      </c>
      <c r="D454" s="367">
        <v>188.61</v>
      </c>
      <c r="E454" s="339">
        <v>903098</v>
      </c>
      <c r="F454" s="339">
        <v>267528660</v>
      </c>
      <c r="G454" s="310">
        <v>15280575</v>
      </c>
      <c r="H454" s="313">
        <v>572</v>
      </c>
    </row>
    <row r="455" spans="1:8" ht="15">
      <c r="A455" s="403">
        <v>6</v>
      </c>
      <c r="B455" s="310" t="s">
        <v>175</v>
      </c>
      <c r="C455" s="310"/>
      <c r="D455" s="310"/>
      <c r="E455" s="339">
        <v>252422</v>
      </c>
      <c r="F455" s="310">
        <v>12621103</v>
      </c>
      <c r="G455" s="313">
        <v>4291175</v>
      </c>
      <c r="H455" s="313"/>
    </row>
    <row r="456" spans="1:8" ht="15.75">
      <c r="A456" s="403">
        <v>7</v>
      </c>
      <c r="B456" s="367" t="s">
        <v>176</v>
      </c>
      <c r="C456" s="310">
        <v>8</v>
      </c>
      <c r="D456" s="367">
        <v>14.5</v>
      </c>
      <c r="E456" s="339">
        <v>7962</v>
      </c>
      <c r="F456" s="339">
        <v>2547840</v>
      </c>
      <c r="G456" s="310">
        <v>210672</v>
      </c>
      <c r="H456" s="313">
        <v>50</v>
      </c>
    </row>
    <row r="457" spans="1:8" ht="15">
      <c r="A457" s="403">
        <v>8</v>
      </c>
      <c r="B457" s="310" t="s">
        <v>131</v>
      </c>
      <c r="C457" s="310">
        <v>1</v>
      </c>
      <c r="D457" s="505">
        <v>1</v>
      </c>
      <c r="E457" s="339"/>
      <c r="F457" s="310"/>
      <c r="G457" s="313"/>
      <c r="H457" s="313"/>
    </row>
    <row r="458" spans="1:8" ht="15.75">
      <c r="A458" s="403">
        <v>9</v>
      </c>
      <c r="B458" s="367" t="s">
        <v>162</v>
      </c>
      <c r="C458" s="310">
        <v>188</v>
      </c>
      <c r="D458" s="367">
        <v>208.92</v>
      </c>
      <c r="E458" s="339">
        <v>1073871</v>
      </c>
      <c r="F458" s="339">
        <v>1589140153</v>
      </c>
      <c r="G458" s="310">
        <v>209404900</v>
      </c>
      <c r="H458" s="313">
        <v>1450</v>
      </c>
    </row>
    <row r="459" spans="1:8" ht="15">
      <c r="A459" s="403">
        <v>10</v>
      </c>
      <c r="B459" s="310" t="s">
        <v>128</v>
      </c>
      <c r="C459" s="310"/>
      <c r="D459" s="409"/>
      <c r="E459" s="410"/>
      <c r="F459" s="339"/>
      <c r="G459" s="310">
        <v>51179090</v>
      </c>
      <c r="H459" s="313"/>
    </row>
    <row r="460" spans="1:8" ht="15">
      <c r="A460" s="403">
        <v>11</v>
      </c>
      <c r="B460" s="310" t="s">
        <v>41</v>
      </c>
      <c r="C460" s="310"/>
      <c r="D460" s="409"/>
      <c r="E460" s="410"/>
      <c r="F460" s="339"/>
      <c r="G460" s="310">
        <v>35734475</v>
      </c>
      <c r="H460" s="313"/>
    </row>
    <row r="461" spans="1:8" ht="15">
      <c r="A461" s="679"/>
      <c r="B461" s="625" t="s">
        <v>129</v>
      </c>
      <c r="C461" s="680">
        <f aca="true" t="shared" si="30" ref="C461:H461">SUM(C450:C460)</f>
        <v>488</v>
      </c>
      <c r="D461" s="681">
        <f t="shared" si="30"/>
        <v>603.54</v>
      </c>
      <c r="E461" s="680">
        <f t="shared" si="30"/>
        <v>8687903</v>
      </c>
      <c r="F461" s="680">
        <f t="shared" si="30"/>
        <v>4168438306</v>
      </c>
      <c r="G461" s="680">
        <f t="shared" si="30"/>
        <v>464798847</v>
      </c>
      <c r="H461" s="680">
        <f t="shared" si="30"/>
        <v>4102</v>
      </c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27.75">
      <c r="A463" s="1168" t="s">
        <v>247</v>
      </c>
      <c r="B463" s="1168"/>
      <c r="C463" s="1168"/>
      <c r="D463" s="1168"/>
      <c r="E463" s="1168"/>
      <c r="F463" s="1168"/>
      <c r="G463" s="1168"/>
      <c r="H463" s="1168"/>
    </row>
    <row r="464" spans="1:8" ht="20.25">
      <c r="A464" s="1171" t="s">
        <v>266</v>
      </c>
      <c r="B464" s="1171"/>
      <c r="C464" s="1171"/>
      <c r="D464" s="1171"/>
      <c r="E464" s="1171"/>
      <c r="F464" s="1171"/>
      <c r="G464" s="1171"/>
      <c r="H464" s="1171"/>
    </row>
    <row r="465" spans="1:8" ht="21">
      <c r="A465" s="1165" t="s">
        <v>378</v>
      </c>
      <c r="B465" s="1165"/>
      <c r="C465" s="1165"/>
      <c r="D465" s="1165"/>
      <c r="E465" s="1165"/>
      <c r="F465" s="1165"/>
      <c r="G465" s="1165"/>
      <c r="H465" s="1165"/>
    </row>
    <row r="466" spans="1:8" ht="15.75">
      <c r="A466" s="7"/>
      <c r="B466" s="2"/>
      <c r="C466" s="3"/>
      <c r="D466" s="4"/>
      <c r="E466" s="93"/>
      <c r="F466" s="93"/>
      <c r="G466" s="93"/>
      <c r="H466" s="6"/>
    </row>
    <row r="467" spans="1:8" ht="15" customHeight="1">
      <c r="A467" s="1166" t="s">
        <v>121</v>
      </c>
      <c r="B467" s="1101" t="s">
        <v>5</v>
      </c>
      <c r="C467" s="1101" t="s">
        <v>6</v>
      </c>
      <c r="D467" s="675" t="s">
        <v>7</v>
      </c>
      <c r="E467" s="676" t="s">
        <v>8</v>
      </c>
      <c r="F467" s="677" t="s">
        <v>9</v>
      </c>
      <c r="G467" s="677" t="s">
        <v>10</v>
      </c>
      <c r="H467" s="676" t="s">
        <v>11</v>
      </c>
    </row>
    <row r="468" spans="1:8" ht="15">
      <c r="A468" s="1167"/>
      <c r="B468" s="1102"/>
      <c r="C468" s="1102"/>
      <c r="D468" s="670" t="s">
        <v>12</v>
      </c>
      <c r="E468" s="671" t="s">
        <v>13</v>
      </c>
      <c r="F468" s="672" t="s">
        <v>214</v>
      </c>
      <c r="G468" s="672" t="s">
        <v>214</v>
      </c>
      <c r="H468" s="671" t="s">
        <v>15</v>
      </c>
    </row>
    <row r="469" spans="1:8" ht="15.75">
      <c r="A469" s="79">
        <v>1</v>
      </c>
      <c r="B469" s="278" t="s">
        <v>213</v>
      </c>
      <c r="C469" s="23">
        <f aca="true" t="shared" si="31" ref="C469:H469">C18</f>
        <v>422</v>
      </c>
      <c r="D469" s="22">
        <f t="shared" si="31"/>
        <v>521.4100000000001</v>
      </c>
      <c r="E469" s="23">
        <f t="shared" si="31"/>
        <v>9695530</v>
      </c>
      <c r="F469" s="23">
        <f t="shared" si="31"/>
        <v>3389961840</v>
      </c>
      <c r="G469" s="23">
        <f t="shared" si="31"/>
        <v>577756577</v>
      </c>
      <c r="H469" s="23">
        <f t="shared" si="31"/>
        <v>19957</v>
      </c>
    </row>
    <row r="470" spans="1:8" ht="15.75">
      <c r="A470" s="79">
        <v>2</v>
      </c>
      <c r="B470" s="278" t="s">
        <v>215</v>
      </c>
      <c r="C470" s="23">
        <f aca="true" t="shared" si="32" ref="C470:H470">C34</f>
        <v>303</v>
      </c>
      <c r="D470" s="22">
        <f t="shared" si="32"/>
        <v>387.1181</v>
      </c>
      <c r="E470" s="23">
        <f t="shared" si="32"/>
        <v>5137556</v>
      </c>
      <c r="F470" s="23">
        <f t="shared" si="32"/>
        <v>2694628560</v>
      </c>
      <c r="G470" s="23">
        <f t="shared" si="32"/>
        <v>313913895</v>
      </c>
      <c r="H470" s="23">
        <f t="shared" si="32"/>
        <v>13092</v>
      </c>
    </row>
    <row r="471" spans="1:8" ht="15.75">
      <c r="A471" s="79">
        <v>3</v>
      </c>
      <c r="B471" s="278" t="s">
        <v>216</v>
      </c>
      <c r="C471" s="23">
        <f aca="true" t="shared" si="33" ref="C471:H471">C46</f>
        <v>126</v>
      </c>
      <c r="D471" s="22">
        <f t="shared" si="33"/>
        <v>169</v>
      </c>
      <c r="E471" s="23">
        <f t="shared" si="33"/>
        <v>1494128.28</v>
      </c>
      <c r="F471" s="23">
        <f t="shared" si="33"/>
        <v>149132885</v>
      </c>
      <c r="G471" s="23">
        <f t="shared" si="33"/>
        <v>238503000</v>
      </c>
      <c r="H471" s="23">
        <f t="shared" si="33"/>
        <v>1180</v>
      </c>
    </row>
    <row r="472" spans="1:8" ht="15.75">
      <c r="A472" s="79">
        <v>4</v>
      </c>
      <c r="B472" s="278" t="s">
        <v>218</v>
      </c>
      <c r="C472" s="23">
        <f aca="true" t="shared" si="34" ref="C472:H472">C74</f>
        <v>37</v>
      </c>
      <c r="D472" s="22">
        <f t="shared" si="34"/>
        <v>37.08</v>
      </c>
      <c r="E472" s="23">
        <f t="shared" si="34"/>
        <v>3022716</v>
      </c>
      <c r="F472" s="23">
        <f t="shared" si="34"/>
        <v>488205004</v>
      </c>
      <c r="G472" s="23">
        <f t="shared" si="34"/>
        <v>46544277</v>
      </c>
      <c r="H472" s="23">
        <f t="shared" si="34"/>
        <v>1417</v>
      </c>
    </row>
    <row r="473" spans="1:8" ht="15.75">
      <c r="A473" s="79">
        <v>5</v>
      </c>
      <c r="B473" s="278" t="s">
        <v>249</v>
      </c>
      <c r="C473" s="23">
        <f aca="true" t="shared" si="35" ref="C473:H473">C62</f>
        <v>419</v>
      </c>
      <c r="D473" s="22">
        <f t="shared" si="35"/>
        <v>645.3699999999999</v>
      </c>
      <c r="E473" s="23">
        <f t="shared" si="35"/>
        <v>8642953</v>
      </c>
      <c r="F473" s="23">
        <f t="shared" si="35"/>
        <v>1373946380</v>
      </c>
      <c r="G473" s="23">
        <f t="shared" si="35"/>
        <v>341980994</v>
      </c>
      <c r="H473" s="23">
        <f t="shared" si="35"/>
        <v>6990</v>
      </c>
    </row>
    <row r="474" spans="1:8" ht="15.75">
      <c r="A474" s="79">
        <v>6</v>
      </c>
      <c r="B474" s="278" t="s">
        <v>219</v>
      </c>
      <c r="C474" s="23">
        <f aca="true" t="shared" si="36" ref="C474:H474">C87</f>
        <v>740</v>
      </c>
      <c r="D474" s="22">
        <f t="shared" si="36"/>
        <v>2416.12</v>
      </c>
      <c r="E474" s="23">
        <f t="shared" si="36"/>
        <v>18050179.009999998</v>
      </c>
      <c r="F474" s="23">
        <f t="shared" si="36"/>
        <v>2096049737</v>
      </c>
      <c r="G474" s="23">
        <f t="shared" si="36"/>
        <v>447822294</v>
      </c>
      <c r="H474" s="23">
        <f t="shared" si="36"/>
        <v>8178</v>
      </c>
    </row>
    <row r="475" spans="1:8" ht="15.75">
      <c r="A475" s="79">
        <v>7</v>
      </c>
      <c r="B475" s="278" t="s">
        <v>220</v>
      </c>
      <c r="C475" s="23">
        <f aca="true" t="shared" si="37" ref="C475:H475">C104</f>
        <v>264</v>
      </c>
      <c r="D475" s="22">
        <f t="shared" si="37"/>
        <v>424.215</v>
      </c>
      <c r="E475" s="23">
        <f t="shared" si="37"/>
        <v>25468000</v>
      </c>
      <c r="F475" s="23">
        <f t="shared" si="37"/>
        <v>4768814900</v>
      </c>
      <c r="G475" s="23">
        <f t="shared" si="37"/>
        <v>652245954</v>
      </c>
      <c r="H475" s="23">
        <f t="shared" si="37"/>
        <v>19754</v>
      </c>
    </row>
    <row r="476" spans="1:8" ht="15.75">
      <c r="A476" s="79">
        <v>8</v>
      </c>
      <c r="B476" s="278" t="s">
        <v>221</v>
      </c>
      <c r="C476" s="23">
        <f aca="true" t="shared" si="38" ref="C476:H476">C117</f>
        <v>104</v>
      </c>
      <c r="D476" s="22">
        <f t="shared" si="38"/>
        <v>444.7391</v>
      </c>
      <c r="E476" s="23">
        <f t="shared" si="38"/>
        <v>7785151</v>
      </c>
      <c r="F476" s="23">
        <f t="shared" si="38"/>
        <v>1461513100</v>
      </c>
      <c r="G476" s="23">
        <f t="shared" si="38"/>
        <v>162809728</v>
      </c>
      <c r="H476" s="23">
        <f t="shared" si="38"/>
        <v>1228</v>
      </c>
    </row>
    <row r="477" spans="1:8" ht="15.75">
      <c r="A477" s="79">
        <v>9</v>
      </c>
      <c r="B477" s="278" t="s">
        <v>250</v>
      </c>
      <c r="C477" s="22">
        <f aca="true" t="shared" si="39" ref="C477:H477">C134</f>
        <v>994</v>
      </c>
      <c r="D477" s="22">
        <f t="shared" si="39"/>
        <v>2203.7518</v>
      </c>
      <c r="E477" s="22">
        <f t="shared" si="39"/>
        <v>5049938</v>
      </c>
      <c r="F477" s="22">
        <f t="shared" si="39"/>
        <v>2699146704</v>
      </c>
      <c r="G477" s="22">
        <f t="shared" si="39"/>
        <v>354794587</v>
      </c>
      <c r="H477" s="22">
        <f t="shared" si="39"/>
        <v>12053</v>
      </c>
    </row>
    <row r="478" spans="1:8" ht="15.75">
      <c r="A478" s="79">
        <v>10</v>
      </c>
      <c r="B478" s="278" t="s">
        <v>223</v>
      </c>
      <c r="C478" s="22">
        <f aca="true" t="shared" si="40" ref="C478:H478">C155</f>
        <v>73</v>
      </c>
      <c r="D478" s="22">
        <f t="shared" si="40"/>
        <v>273.8055</v>
      </c>
      <c r="E478" s="22">
        <f t="shared" si="40"/>
        <v>6431305</v>
      </c>
      <c r="F478" s="22">
        <f t="shared" si="40"/>
        <v>917815438</v>
      </c>
      <c r="G478" s="22">
        <f t="shared" si="40"/>
        <v>218008080</v>
      </c>
      <c r="H478" s="22">
        <f t="shared" si="40"/>
        <v>2632</v>
      </c>
    </row>
    <row r="479" spans="1:8" ht="15.75">
      <c r="A479" s="79">
        <v>11</v>
      </c>
      <c r="B479" s="278" t="s">
        <v>224</v>
      </c>
      <c r="C479" s="22">
        <f aca="true" t="shared" si="41" ref="C479:H479">C166</f>
        <v>194</v>
      </c>
      <c r="D479" s="22">
        <f t="shared" si="41"/>
        <v>241.23129999999998</v>
      </c>
      <c r="E479" s="22">
        <f t="shared" si="41"/>
        <v>4713912</v>
      </c>
      <c r="F479" s="22">
        <f t="shared" si="41"/>
        <v>991202750</v>
      </c>
      <c r="G479" s="22">
        <f t="shared" si="41"/>
        <v>109966814</v>
      </c>
      <c r="H479" s="22">
        <f t="shared" si="41"/>
        <v>1430</v>
      </c>
    </row>
    <row r="480" spans="1:8" ht="15.75">
      <c r="A480" s="79">
        <v>12</v>
      </c>
      <c r="B480" s="278" t="s">
        <v>225</v>
      </c>
      <c r="C480" s="20">
        <f aca="true" t="shared" si="42" ref="C480:H480">C177</f>
        <v>106</v>
      </c>
      <c r="D480" s="46">
        <f t="shared" si="42"/>
        <v>239.0298</v>
      </c>
      <c r="E480" s="20">
        <f t="shared" si="42"/>
        <v>4333150</v>
      </c>
      <c r="F480" s="20">
        <f t="shared" si="42"/>
        <v>384345000</v>
      </c>
      <c r="G480" s="20">
        <f t="shared" si="42"/>
        <v>117215000</v>
      </c>
      <c r="H480" s="20">
        <f t="shared" si="42"/>
        <v>9220</v>
      </c>
    </row>
    <row r="481" spans="1:8" ht="15.75">
      <c r="A481" s="79">
        <v>13</v>
      </c>
      <c r="B481" s="278" t="s">
        <v>226</v>
      </c>
      <c r="C481" s="20">
        <f aca="true" t="shared" si="43" ref="C481:H481">C188</f>
        <v>155</v>
      </c>
      <c r="D481" s="46">
        <f t="shared" si="43"/>
        <v>2284.32</v>
      </c>
      <c r="E481" s="20">
        <f t="shared" si="43"/>
        <v>1111806</v>
      </c>
      <c r="F481" s="20">
        <f t="shared" si="43"/>
        <v>579169800</v>
      </c>
      <c r="G481" s="20">
        <f t="shared" si="43"/>
        <v>188139000</v>
      </c>
      <c r="H481" s="20">
        <f t="shared" si="43"/>
        <v>1620</v>
      </c>
    </row>
    <row r="482" spans="1:8" ht="15.75">
      <c r="A482" s="79">
        <v>14</v>
      </c>
      <c r="B482" s="278" t="s">
        <v>227</v>
      </c>
      <c r="C482" s="23">
        <f aca="true" t="shared" si="44" ref="C482:H482">C200</f>
        <v>130</v>
      </c>
      <c r="D482" s="22">
        <f t="shared" si="44"/>
        <v>145.79000000000002</v>
      </c>
      <c r="E482" s="23">
        <f t="shared" si="44"/>
        <v>711651</v>
      </c>
      <c r="F482" s="23">
        <f t="shared" si="44"/>
        <v>708277350</v>
      </c>
      <c r="G482" s="23">
        <f t="shared" si="44"/>
        <v>136911625</v>
      </c>
      <c r="H482" s="23">
        <f t="shared" si="44"/>
        <v>1320</v>
      </c>
    </row>
    <row r="483" spans="1:8" ht="15.75">
      <c r="A483" s="79">
        <v>15</v>
      </c>
      <c r="B483" s="278" t="s">
        <v>228</v>
      </c>
      <c r="C483" s="22">
        <f aca="true" t="shared" si="45" ref="C483:H483">C209</f>
        <v>0</v>
      </c>
      <c r="D483" s="22">
        <f t="shared" si="45"/>
        <v>0</v>
      </c>
      <c r="E483" s="22">
        <f t="shared" si="45"/>
        <v>4045125</v>
      </c>
      <c r="F483" s="22">
        <f t="shared" si="45"/>
        <v>3458581875</v>
      </c>
      <c r="G483" s="22">
        <f t="shared" si="45"/>
        <v>88239000</v>
      </c>
      <c r="H483" s="22">
        <f t="shared" si="45"/>
        <v>2680</v>
      </c>
    </row>
    <row r="484" spans="1:8" ht="15.75">
      <c r="A484" s="79">
        <v>16</v>
      </c>
      <c r="B484" s="278" t="s">
        <v>230</v>
      </c>
      <c r="C484" s="22">
        <f aca="true" t="shared" si="46" ref="C484:H484">C237</f>
        <v>1056</v>
      </c>
      <c r="D484" s="22">
        <f t="shared" si="46"/>
        <v>1457.484</v>
      </c>
      <c r="E484" s="22">
        <f t="shared" si="46"/>
        <v>38279729.46</v>
      </c>
      <c r="F484" s="22">
        <f t="shared" si="46"/>
        <v>5356947945</v>
      </c>
      <c r="G484" s="22">
        <f t="shared" si="46"/>
        <v>779189000</v>
      </c>
      <c r="H484" s="22">
        <f t="shared" si="46"/>
        <v>16134</v>
      </c>
    </row>
    <row r="485" spans="1:8" ht="15.75">
      <c r="A485" s="79">
        <v>17</v>
      </c>
      <c r="B485" s="278" t="s">
        <v>251</v>
      </c>
      <c r="C485" s="23">
        <f aca="true" t="shared" si="47" ref="C485:H485">C224</f>
        <v>667</v>
      </c>
      <c r="D485" s="22">
        <f t="shared" si="47"/>
        <v>1041.81</v>
      </c>
      <c r="E485" s="23">
        <f t="shared" si="47"/>
        <v>2151918</v>
      </c>
      <c r="F485" s="23">
        <f t="shared" si="47"/>
        <v>1246913330</v>
      </c>
      <c r="G485" s="23">
        <f t="shared" si="47"/>
        <v>155324252</v>
      </c>
      <c r="H485" s="23">
        <f t="shared" si="47"/>
        <v>3465</v>
      </c>
    </row>
    <row r="486" spans="1:8" ht="15.75">
      <c r="A486" s="79">
        <v>18</v>
      </c>
      <c r="B486" s="278" t="s">
        <v>231</v>
      </c>
      <c r="C486" s="23">
        <f aca="true" t="shared" si="48" ref="C486:H486">C248</f>
        <v>589</v>
      </c>
      <c r="D486" s="22">
        <f t="shared" si="48"/>
        <v>925.0899999999999</v>
      </c>
      <c r="E486" s="23">
        <f t="shared" si="48"/>
        <v>50681302</v>
      </c>
      <c r="F486" s="23">
        <f t="shared" si="48"/>
        <v>3561475200</v>
      </c>
      <c r="G486" s="23">
        <f t="shared" si="48"/>
        <v>316155000</v>
      </c>
      <c r="H486" s="23">
        <f t="shared" si="48"/>
        <v>5409</v>
      </c>
    </row>
    <row r="487" spans="1:8" ht="15.75">
      <c r="A487" s="79">
        <v>19</v>
      </c>
      <c r="B487" s="278" t="s">
        <v>232</v>
      </c>
      <c r="C487" s="23">
        <f aca="true" t="shared" si="49" ref="C487:H487">C262</f>
        <v>134</v>
      </c>
      <c r="D487" s="22">
        <f t="shared" si="49"/>
        <v>367.51</v>
      </c>
      <c r="E487" s="23">
        <f t="shared" si="49"/>
        <v>5562493</v>
      </c>
      <c r="F487" s="23">
        <f t="shared" si="49"/>
        <v>2230700275</v>
      </c>
      <c r="G487" s="23">
        <f t="shared" si="49"/>
        <v>102539904</v>
      </c>
      <c r="H487" s="23">
        <f t="shared" si="49"/>
        <v>4099</v>
      </c>
    </row>
    <row r="488" spans="1:8" ht="15.75">
      <c r="A488" s="79">
        <v>20</v>
      </c>
      <c r="B488" s="278" t="s">
        <v>233</v>
      </c>
      <c r="C488" s="23">
        <f aca="true" t="shared" si="50" ref="C488:H488">C279</f>
        <v>448</v>
      </c>
      <c r="D488" s="22">
        <f t="shared" si="50"/>
        <v>471.9068</v>
      </c>
      <c r="E488" s="23">
        <f t="shared" si="50"/>
        <v>6745551</v>
      </c>
      <c r="F488" s="23">
        <f t="shared" si="50"/>
        <v>1349576550</v>
      </c>
      <c r="G488" s="23">
        <f t="shared" si="50"/>
        <v>415043000</v>
      </c>
      <c r="H488" s="23">
        <f t="shared" si="50"/>
        <v>1111</v>
      </c>
    </row>
    <row r="489" spans="1:8" ht="15.75">
      <c r="A489" s="79">
        <v>21</v>
      </c>
      <c r="B489" s="278" t="s">
        <v>252</v>
      </c>
      <c r="C489" s="23">
        <f aca="true" t="shared" si="51" ref="C489:H489">C295</f>
        <v>496</v>
      </c>
      <c r="D489" s="22">
        <f t="shared" si="51"/>
        <v>1776.6699999999998</v>
      </c>
      <c r="E489" s="23">
        <f t="shared" si="51"/>
        <v>15083540</v>
      </c>
      <c r="F489" s="23">
        <f t="shared" si="51"/>
        <v>3087520345</v>
      </c>
      <c r="G489" s="23">
        <f t="shared" si="51"/>
        <v>1034343040</v>
      </c>
      <c r="H489" s="23">
        <f t="shared" si="51"/>
        <v>50266</v>
      </c>
    </row>
    <row r="490" spans="1:8" ht="15.75">
      <c r="A490" s="79">
        <v>22</v>
      </c>
      <c r="B490" s="278" t="s">
        <v>253</v>
      </c>
      <c r="C490" s="23">
        <f aca="true" t="shared" si="52" ref="C490:H490">C311</f>
        <v>239</v>
      </c>
      <c r="D490" s="22">
        <f t="shared" si="52"/>
        <v>6669.7564</v>
      </c>
      <c r="E490" s="23">
        <f t="shared" si="52"/>
        <v>2479273</v>
      </c>
      <c r="F490" s="23">
        <f t="shared" si="52"/>
        <v>566876750</v>
      </c>
      <c r="G490" s="23">
        <f t="shared" si="52"/>
        <v>154147000</v>
      </c>
      <c r="H490" s="23">
        <f t="shared" si="52"/>
        <v>16267</v>
      </c>
    </row>
    <row r="491" spans="1:8" ht="15.75">
      <c r="A491" s="79">
        <v>23</v>
      </c>
      <c r="B491" s="278" t="s">
        <v>236</v>
      </c>
      <c r="C491" s="22">
        <f aca="true" t="shared" si="53" ref="C491:H491">C324</f>
        <v>111</v>
      </c>
      <c r="D491" s="22">
        <f t="shared" si="53"/>
        <v>1619.96</v>
      </c>
      <c r="E491" s="22">
        <f t="shared" si="53"/>
        <v>9600840</v>
      </c>
      <c r="F491" s="22">
        <f t="shared" si="53"/>
        <v>5333141417</v>
      </c>
      <c r="G491" s="22">
        <f t="shared" si="53"/>
        <v>577989062</v>
      </c>
      <c r="H491" s="22">
        <f t="shared" si="53"/>
        <v>3931</v>
      </c>
    </row>
    <row r="492" spans="1:8" ht="15.75">
      <c r="A492" s="79">
        <v>24</v>
      </c>
      <c r="B492" s="278" t="s">
        <v>237</v>
      </c>
      <c r="C492" s="23">
        <f aca="true" t="shared" si="54" ref="C492:H492">C337</f>
        <v>739</v>
      </c>
      <c r="D492" s="22">
        <f t="shared" si="54"/>
        <v>7259.013</v>
      </c>
      <c r="E492" s="23">
        <f t="shared" si="54"/>
        <v>8761736</v>
      </c>
      <c r="F492" s="23">
        <f t="shared" si="54"/>
        <v>5313584856</v>
      </c>
      <c r="G492" s="23">
        <f t="shared" si="54"/>
        <v>625549323</v>
      </c>
      <c r="H492" s="23">
        <f t="shared" si="54"/>
        <v>20029</v>
      </c>
    </row>
    <row r="493" spans="1:8" ht="15.75">
      <c r="A493" s="79">
        <v>25</v>
      </c>
      <c r="B493" s="278" t="s">
        <v>238</v>
      </c>
      <c r="C493" s="23">
        <f aca="true" t="shared" si="55" ref="C493:H493">C352</f>
        <v>349</v>
      </c>
      <c r="D493" s="22">
        <f t="shared" si="55"/>
        <v>2810.85</v>
      </c>
      <c r="E493" s="23">
        <f t="shared" si="55"/>
        <v>4854605</v>
      </c>
      <c r="F493" s="23">
        <f t="shared" si="55"/>
        <v>698465325</v>
      </c>
      <c r="G493" s="23">
        <f t="shared" si="55"/>
        <v>153260000</v>
      </c>
      <c r="H493" s="23">
        <f t="shared" si="55"/>
        <v>3300</v>
      </c>
    </row>
    <row r="494" spans="1:8" ht="15.75">
      <c r="A494" s="79">
        <v>26</v>
      </c>
      <c r="B494" s="278" t="s">
        <v>239</v>
      </c>
      <c r="C494" s="22">
        <f aca="true" t="shared" si="56" ref="C494:H494">C366</f>
        <v>62</v>
      </c>
      <c r="D494" s="22">
        <f t="shared" si="56"/>
        <v>98.48</v>
      </c>
      <c r="E494" s="22">
        <f t="shared" si="56"/>
        <v>94743</v>
      </c>
      <c r="F494" s="22">
        <f t="shared" si="56"/>
        <v>47683480</v>
      </c>
      <c r="G494" s="22">
        <f t="shared" si="56"/>
        <v>23675000</v>
      </c>
      <c r="H494" s="22">
        <f t="shared" si="56"/>
        <v>128</v>
      </c>
    </row>
    <row r="495" spans="1:8" ht="15.75">
      <c r="A495" s="79">
        <v>27</v>
      </c>
      <c r="B495" s="278" t="s">
        <v>254</v>
      </c>
      <c r="C495" s="23">
        <f aca="true" t="shared" si="57" ref="C495:H495">C380</f>
        <v>1299</v>
      </c>
      <c r="D495" s="22">
        <f t="shared" si="57"/>
        <v>2157.4118</v>
      </c>
      <c r="E495" s="23">
        <f t="shared" si="57"/>
        <v>9182876</v>
      </c>
      <c r="F495" s="23">
        <f t="shared" si="57"/>
        <v>8892643332</v>
      </c>
      <c r="G495" s="23">
        <f t="shared" si="57"/>
        <v>1536954000</v>
      </c>
      <c r="H495" s="23">
        <f t="shared" si="57"/>
        <v>13943</v>
      </c>
    </row>
    <row r="496" spans="1:8" ht="15.75">
      <c r="A496" s="79">
        <v>28</v>
      </c>
      <c r="B496" s="279" t="s">
        <v>255</v>
      </c>
      <c r="C496" s="23">
        <f aca="true" t="shared" si="58" ref="C496:H496">C394</f>
        <v>126</v>
      </c>
      <c r="D496" s="22">
        <f t="shared" si="58"/>
        <v>90.12000000000002</v>
      </c>
      <c r="E496" s="23">
        <f t="shared" si="58"/>
        <v>8939191</v>
      </c>
      <c r="F496" s="23">
        <f t="shared" si="58"/>
        <v>757748950</v>
      </c>
      <c r="G496" s="23">
        <f t="shared" si="58"/>
        <v>218787707</v>
      </c>
      <c r="H496" s="23">
        <f t="shared" si="58"/>
        <v>904</v>
      </c>
    </row>
    <row r="497" spans="1:8" ht="15.75">
      <c r="A497" s="79">
        <v>29</v>
      </c>
      <c r="B497" s="278" t="s">
        <v>256</v>
      </c>
      <c r="C497" s="22">
        <f aca="true" t="shared" si="59" ref="C497:H497">C403</f>
        <v>1</v>
      </c>
      <c r="D497" s="22">
        <f t="shared" si="59"/>
        <v>0</v>
      </c>
      <c r="E497" s="22">
        <f t="shared" si="59"/>
        <v>5373570</v>
      </c>
      <c r="F497" s="22">
        <f t="shared" si="59"/>
        <v>4597160625</v>
      </c>
      <c r="G497" s="22">
        <f t="shared" si="59"/>
        <v>131049000</v>
      </c>
      <c r="H497" s="22">
        <f t="shared" si="59"/>
        <v>3575</v>
      </c>
    </row>
    <row r="498" spans="1:8" ht="15.75">
      <c r="A498" s="79">
        <v>30</v>
      </c>
      <c r="B498" s="278" t="s">
        <v>243</v>
      </c>
      <c r="C498" s="23">
        <f aca="true" t="shared" si="60" ref="C498:H498">C418</f>
        <v>537</v>
      </c>
      <c r="D498" s="22">
        <f t="shared" si="60"/>
        <v>1635.2702</v>
      </c>
      <c r="E498" s="23">
        <f t="shared" si="60"/>
        <v>3456872</v>
      </c>
      <c r="F498" s="23">
        <f t="shared" si="60"/>
        <v>731144000</v>
      </c>
      <c r="G498" s="23">
        <f t="shared" si="60"/>
        <v>424017000</v>
      </c>
      <c r="H498" s="23">
        <f t="shared" si="60"/>
        <v>2264</v>
      </c>
    </row>
    <row r="499" spans="1:8" ht="15.75">
      <c r="A499" s="79">
        <v>31</v>
      </c>
      <c r="B499" s="278" t="s">
        <v>244</v>
      </c>
      <c r="C499" s="23">
        <f aca="true" t="shared" si="61" ref="C499:H499">C432</f>
        <v>259</v>
      </c>
      <c r="D499" s="22">
        <f t="shared" si="61"/>
        <v>324.03</v>
      </c>
      <c r="E499" s="23">
        <f t="shared" si="61"/>
        <v>2448882</v>
      </c>
      <c r="F499" s="23">
        <f t="shared" si="61"/>
        <v>968133980</v>
      </c>
      <c r="G499" s="23">
        <f t="shared" si="61"/>
        <v>168339253</v>
      </c>
      <c r="H499" s="23">
        <f t="shared" si="61"/>
        <v>6015</v>
      </c>
    </row>
    <row r="500" spans="1:8" ht="15.75">
      <c r="A500" s="79">
        <v>32</v>
      </c>
      <c r="B500" s="278" t="s">
        <v>257</v>
      </c>
      <c r="C500" s="23">
        <f aca="true" t="shared" si="62" ref="C500:H500">C445</f>
        <v>91</v>
      </c>
      <c r="D500" s="22">
        <f t="shared" si="62"/>
        <v>121.94</v>
      </c>
      <c r="E500" s="23">
        <f t="shared" si="62"/>
        <v>8409376</v>
      </c>
      <c r="F500" s="23">
        <f t="shared" si="62"/>
        <v>502995150</v>
      </c>
      <c r="G500" s="23">
        <f t="shared" si="62"/>
        <v>233984293</v>
      </c>
      <c r="H500" s="23">
        <f t="shared" si="62"/>
        <v>766</v>
      </c>
    </row>
    <row r="501" spans="1:8" ht="15.75">
      <c r="A501" s="79">
        <v>33</v>
      </c>
      <c r="B501" s="278" t="s">
        <v>246</v>
      </c>
      <c r="C501" s="23">
        <f aca="true" t="shared" si="63" ref="C501:H501">C461</f>
        <v>488</v>
      </c>
      <c r="D501" s="22">
        <f t="shared" si="63"/>
        <v>603.54</v>
      </c>
      <c r="E501" s="23">
        <f t="shared" si="63"/>
        <v>8687903</v>
      </c>
      <c r="F501" s="23">
        <f t="shared" si="63"/>
        <v>4168438306</v>
      </c>
      <c r="G501" s="23">
        <f t="shared" si="63"/>
        <v>464798847</v>
      </c>
      <c r="H501" s="23">
        <f t="shared" si="63"/>
        <v>4102</v>
      </c>
    </row>
    <row r="502" spans="1:8" ht="15.75">
      <c r="A502" s="80"/>
      <c r="B502" s="90"/>
      <c r="C502" s="28"/>
      <c r="D502" s="29"/>
      <c r="E502" s="29"/>
      <c r="F502" s="36"/>
      <c r="G502" s="29"/>
      <c r="H502" s="273"/>
    </row>
    <row r="503" spans="1:8" ht="15">
      <c r="A503" s="620"/>
      <c r="B503" s="621" t="s">
        <v>212</v>
      </c>
      <c r="C503" s="622">
        <f aca="true" t="shared" si="64" ref="C503:H503">SUM(C469:C502)</f>
        <v>11758</v>
      </c>
      <c r="D503" s="622">
        <f t="shared" si="64"/>
        <v>39863.82280000001</v>
      </c>
      <c r="E503" s="622">
        <f t="shared" si="64"/>
        <v>296487500.75</v>
      </c>
      <c r="F503" s="622">
        <f t="shared" si="64"/>
        <v>75571941139</v>
      </c>
      <c r="G503" s="622">
        <f t="shared" si="64"/>
        <v>11509995506</v>
      </c>
      <c r="H503" s="622">
        <f t="shared" si="64"/>
        <v>258459</v>
      </c>
    </row>
    <row r="504" spans="1:8" ht="15">
      <c r="A504" s="7"/>
      <c r="B504" s="7"/>
      <c r="C504" s="7"/>
      <c r="D504" s="62"/>
      <c r="E504" s="7"/>
      <c r="F504" s="7"/>
      <c r="G504" s="7"/>
      <c r="H504" s="7"/>
    </row>
    <row r="505" spans="3:8" ht="15">
      <c r="C505" s="172"/>
      <c r="D505" s="172"/>
      <c r="E505" s="172"/>
      <c r="F505" s="172"/>
      <c r="G505" s="172"/>
      <c r="H505" s="172"/>
    </row>
    <row r="507" spans="3:8" ht="15">
      <c r="C507" s="172"/>
      <c r="D507" s="172"/>
      <c r="E507" s="172"/>
      <c r="F507" s="172"/>
      <c r="G507" s="172"/>
      <c r="H507" s="172"/>
    </row>
  </sheetData>
  <sheetProtection password="86A8" sheet="1"/>
  <mergeCells count="142">
    <mergeCell ref="A396:H396"/>
    <mergeCell ref="A405:H405"/>
    <mergeCell ref="A448:A449"/>
    <mergeCell ref="B448:B449"/>
    <mergeCell ref="C448:C449"/>
    <mergeCell ref="C406:C407"/>
    <mergeCell ref="A420:H420"/>
    <mergeCell ref="A434:H434"/>
    <mergeCell ref="A447:H447"/>
    <mergeCell ref="B435:B436"/>
    <mergeCell ref="C467:C468"/>
    <mergeCell ref="A421:A422"/>
    <mergeCell ref="B421:B422"/>
    <mergeCell ref="C421:C422"/>
    <mergeCell ref="A435:A436"/>
    <mergeCell ref="A397:A398"/>
    <mergeCell ref="B397:B398"/>
    <mergeCell ref="C397:C398"/>
    <mergeCell ref="A406:A407"/>
    <mergeCell ref="B406:B407"/>
    <mergeCell ref="A340:A341"/>
    <mergeCell ref="B340:B341"/>
    <mergeCell ref="C340:C341"/>
    <mergeCell ref="A355:A356"/>
    <mergeCell ref="B355:B356"/>
    <mergeCell ref="C355:C356"/>
    <mergeCell ref="A354:H354"/>
    <mergeCell ref="C298:C299"/>
    <mergeCell ref="A314:A315"/>
    <mergeCell ref="B314:B315"/>
    <mergeCell ref="C314:C315"/>
    <mergeCell ref="A327:A328"/>
    <mergeCell ref="B327:B328"/>
    <mergeCell ref="C327:C328"/>
    <mergeCell ref="A251:A252"/>
    <mergeCell ref="B251:B252"/>
    <mergeCell ref="C251:C252"/>
    <mergeCell ref="A266:A267"/>
    <mergeCell ref="B266:B267"/>
    <mergeCell ref="C266:C267"/>
    <mergeCell ref="A265:H265"/>
    <mergeCell ref="C213:C214"/>
    <mergeCell ref="A227:A228"/>
    <mergeCell ref="B227:B228"/>
    <mergeCell ref="C227:C228"/>
    <mergeCell ref="A240:A241"/>
    <mergeCell ref="B240:B241"/>
    <mergeCell ref="C240:C241"/>
    <mergeCell ref="A180:A181"/>
    <mergeCell ref="B180:B181"/>
    <mergeCell ref="C180:C181"/>
    <mergeCell ref="A191:A192"/>
    <mergeCell ref="B191:B192"/>
    <mergeCell ref="C191:C192"/>
    <mergeCell ref="A190:H190"/>
    <mergeCell ref="C137:C138"/>
    <mergeCell ref="A158:A159"/>
    <mergeCell ref="B158:B159"/>
    <mergeCell ref="C158:C159"/>
    <mergeCell ref="A169:A170"/>
    <mergeCell ref="B169:B170"/>
    <mergeCell ref="C169:C170"/>
    <mergeCell ref="A90:A91"/>
    <mergeCell ref="B90:B91"/>
    <mergeCell ref="C90:C91"/>
    <mergeCell ref="A107:A108"/>
    <mergeCell ref="B107:B108"/>
    <mergeCell ref="C107:C108"/>
    <mergeCell ref="A106:H106"/>
    <mergeCell ref="C49:C50"/>
    <mergeCell ref="A65:A66"/>
    <mergeCell ref="B65:B66"/>
    <mergeCell ref="C65:C66"/>
    <mergeCell ref="A77:A78"/>
    <mergeCell ref="B77:B78"/>
    <mergeCell ref="C77:C78"/>
    <mergeCell ref="A20:H20"/>
    <mergeCell ref="A5:H5"/>
    <mergeCell ref="A6:A7"/>
    <mergeCell ref="B6:B7"/>
    <mergeCell ref="C6:C7"/>
    <mergeCell ref="A21:A22"/>
    <mergeCell ref="B21:B22"/>
    <mergeCell ref="C21:C22"/>
    <mergeCell ref="A89:H89"/>
    <mergeCell ref="A76:H76"/>
    <mergeCell ref="A64:H64"/>
    <mergeCell ref="A48:H48"/>
    <mergeCell ref="A36:H36"/>
    <mergeCell ref="A37:A38"/>
    <mergeCell ref="B37:B38"/>
    <mergeCell ref="C37:C38"/>
    <mergeCell ref="A49:A50"/>
    <mergeCell ref="B49:B50"/>
    <mergeCell ref="A179:H179"/>
    <mergeCell ref="A168:H168"/>
    <mergeCell ref="A157:H157"/>
    <mergeCell ref="A136:H136"/>
    <mergeCell ref="A119:H119"/>
    <mergeCell ref="A120:A121"/>
    <mergeCell ref="B120:B121"/>
    <mergeCell ref="C120:C121"/>
    <mergeCell ref="A137:A138"/>
    <mergeCell ref="B137:B138"/>
    <mergeCell ref="A250:H250"/>
    <mergeCell ref="A239:H239"/>
    <mergeCell ref="A226:H226"/>
    <mergeCell ref="A212:H212"/>
    <mergeCell ref="A202:H202"/>
    <mergeCell ref="A203:A204"/>
    <mergeCell ref="B203:B204"/>
    <mergeCell ref="C203:C204"/>
    <mergeCell ref="A213:A214"/>
    <mergeCell ref="B213:B214"/>
    <mergeCell ref="A339:H339"/>
    <mergeCell ref="A326:H326"/>
    <mergeCell ref="A313:H313"/>
    <mergeCell ref="A297:H297"/>
    <mergeCell ref="A281:H281"/>
    <mergeCell ref="A282:A283"/>
    <mergeCell ref="B282:B283"/>
    <mergeCell ref="C282:C283"/>
    <mergeCell ref="A298:A299"/>
    <mergeCell ref="B298:B299"/>
    <mergeCell ref="A368:H368"/>
    <mergeCell ref="A369:A370"/>
    <mergeCell ref="B369:B370"/>
    <mergeCell ref="C369:C370"/>
    <mergeCell ref="A384:A385"/>
    <mergeCell ref="B384:B385"/>
    <mergeCell ref="C384:C385"/>
    <mergeCell ref="A383:H383"/>
    <mergeCell ref="C435:C436"/>
    <mergeCell ref="A465:H465"/>
    <mergeCell ref="A467:A468"/>
    <mergeCell ref="B467:B468"/>
    <mergeCell ref="A1:H1"/>
    <mergeCell ref="A2:H2"/>
    <mergeCell ref="A3:H3"/>
    <mergeCell ref="A210:B210"/>
    <mergeCell ref="A463:H463"/>
    <mergeCell ref="A464:H464"/>
  </mergeCells>
  <printOptions/>
  <pageMargins left="0.7" right="0.7" top="0.75" bottom="0.75" header="0.3" footer="0.3"/>
  <pageSetup horizontalDpi="600" verticalDpi="600" orientation="portrait" paperSize="9" scale="73" r:id="rId1"/>
  <rowBreaks count="8" manualBreakCount="8">
    <brk id="62" max="255" man="1"/>
    <brk id="117" max="255" man="1"/>
    <brk id="178" max="255" man="1"/>
    <brk id="238" max="255" man="1"/>
    <brk id="295" max="255" man="1"/>
    <brk id="337" max="255" man="1"/>
    <brk id="403" max="255" man="1"/>
    <brk id="4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8.28125" style="0" customWidth="1"/>
    <col min="4" max="4" width="18.00390625" style="0" customWidth="1"/>
    <col min="5" max="5" width="17.140625" style="0" customWidth="1"/>
    <col min="6" max="6" width="20.28125" style="0" customWidth="1"/>
  </cols>
  <sheetData>
    <row r="3" spans="1:6" ht="24">
      <c r="A3" s="1178" t="s">
        <v>375</v>
      </c>
      <c r="B3" s="1178"/>
      <c r="C3" s="1178"/>
      <c r="D3" s="1178"/>
      <c r="E3" s="1178"/>
      <c r="F3" s="1178"/>
    </row>
    <row r="5" spans="1:6" ht="96.75" customHeight="1">
      <c r="A5" s="1072" t="s">
        <v>281</v>
      </c>
      <c r="B5" s="1073" t="s">
        <v>282</v>
      </c>
      <c r="C5" s="1073" t="s">
        <v>376</v>
      </c>
      <c r="D5" s="1073" t="s">
        <v>291</v>
      </c>
      <c r="E5" s="1073" t="s">
        <v>290</v>
      </c>
      <c r="F5" s="1073" t="s">
        <v>292</v>
      </c>
    </row>
    <row r="6" spans="1:6" ht="24.75" customHeight="1">
      <c r="A6" s="458">
        <v>1</v>
      </c>
      <c r="B6" s="457" t="s">
        <v>284</v>
      </c>
      <c r="C6" s="459">
        <v>3106</v>
      </c>
      <c r="D6" s="459">
        <v>56</v>
      </c>
      <c r="E6" s="459">
        <v>33</v>
      </c>
      <c r="F6" s="459">
        <v>644</v>
      </c>
    </row>
    <row r="7" spans="1:6" ht="24.75" customHeight="1">
      <c r="A7" s="458">
        <v>2</v>
      </c>
      <c r="B7" s="457" t="s">
        <v>283</v>
      </c>
      <c r="C7" s="459">
        <v>11758</v>
      </c>
      <c r="D7" s="459">
        <v>434</v>
      </c>
      <c r="E7" s="459">
        <v>466</v>
      </c>
      <c r="F7" s="459">
        <v>3261</v>
      </c>
    </row>
    <row r="8" spans="1:6" ht="24.75" customHeight="1">
      <c r="A8" s="458">
        <v>3</v>
      </c>
      <c r="B8" s="457" t="s">
        <v>285</v>
      </c>
      <c r="C8" s="459">
        <v>53</v>
      </c>
      <c r="D8" s="459">
        <v>0</v>
      </c>
      <c r="E8" s="459">
        <v>0</v>
      </c>
      <c r="F8" s="459">
        <v>5</v>
      </c>
    </row>
    <row r="9" spans="1:6" ht="24.75" customHeight="1">
      <c r="A9" s="458">
        <v>4</v>
      </c>
      <c r="B9" s="457" t="s">
        <v>286</v>
      </c>
      <c r="C9" s="459">
        <v>18004</v>
      </c>
      <c r="D9" s="459">
        <v>3456</v>
      </c>
      <c r="E9" s="459">
        <v>1172</v>
      </c>
      <c r="F9" s="459">
        <v>10555</v>
      </c>
    </row>
    <row r="10" spans="1:6" ht="24.75" customHeight="1">
      <c r="A10" s="458">
        <v>5</v>
      </c>
      <c r="B10" s="457" t="s">
        <v>287</v>
      </c>
      <c r="C10" s="459">
        <v>5406</v>
      </c>
      <c r="D10" s="459">
        <v>252</v>
      </c>
      <c r="E10" s="459">
        <v>41</v>
      </c>
      <c r="F10" s="459">
        <v>1577</v>
      </c>
    </row>
    <row r="11" spans="1:6" ht="24.75" customHeight="1">
      <c r="A11" s="458">
        <v>6</v>
      </c>
      <c r="B11" s="457" t="s">
        <v>288</v>
      </c>
      <c r="C11" s="459">
        <v>6434</v>
      </c>
      <c r="D11" s="459">
        <v>316</v>
      </c>
      <c r="E11" s="459">
        <v>299</v>
      </c>
      <c r="F11" s="459">
        <v>1854</v>
      </c>
    </row>
    <row r="12" spans="1:6" ht="27.75" customHeight="1">
      <c r="A12" s="1074"/>
      <c r="B12" s="1075" t="s">
        <v>289</v>
      </c>
      <c r="C12" s="1076">
        <f>SUM(C6:C11)</f>
        <v>44761</v>
      </c>
      <c r="D12" s="1076">
        <f>SUM(D6:D11)</f>
        <v>4514</v>
      </c>
      <c r="E12" s="1076">
        <f>SUM(E6:E11)</f>
        <v>2011</v>
      </c>
      <c r="F12" s="1076">
        <f>SUM(F6:F11)</f>
        <v>17896</v>
      </c>
    </row>
    <row r="14" spans="1:6" ht="15">
      <c r="A14" s="456"/>
      <c r="B14" s="456"/>
      <c r="C14" s="456"/>
      <c r="D14" s="456"/>
      <c r="E14" s="456"/>
      <c r="F14" s="456"/>
    </row>
    <row r="15" spans="1:6" ht="15">
      <c r="A15" s="456"/>
      <c r="B15" s="456"/>
      <c r="C15" s="456"/>
      <c r="D15" s="456"/>
      <c r="E15" s="456"/>
      <c r="F15" s="456"/>
    </row>
    <row r="16" spans="1:6" ht="15">
      <c r="A16" s="456"/>
      <c r="B16" s="456"/>
      <c r="C16" s="456"/>
      <c r="D16" s="456"/>
      <c r="E16" s="456"/>
      <c r="F16" s="456"/>
    </row>
    <row r="17" spans="1:6" ht="15">
      <c r="A17" s="456"/>
      <c r="B17" s="456"/>
      <c r="C17" s="456"/>
      <c r="D17" s="456"/>
      <c r="E17" s="456"/>
      <c r="F17" s="456"/>
    </row>
    <row r="18" spans="1:6" ht="15">
      <c r="A18" s="456"/>
      <c r="B18" s="456"/>
      <c r="C18" s="456"/>
      <c r="D18" s="456"/>
      <c r="E18" s="456"/>
      <c r="F18" s="456"/>
    </row>
    <row r="19" spans="1:6" ht="15">
      <c r="A19" s="456"/>
      <c r="B19" s="456"/>
      <c r="C19" s="456"/>
      <c r="D19" s="456"/>
      <c r="E19" s="456"/>
      <c r="F19" s="456"/>
    </row>
    <row r="20" spans="1:6" ht="15">
      <c r="A20" s="456"/>
      <c r="B20" s="456"/>
      <c r="C20" s="456"/>
      <c r="D20" s="456"/>
      <c r="E20" s="456"/>
      <c r="F20" s="456"/>
    </row>
  </sheetData>
  <sheetProtection password="86A8" sheet="1"/>
  <mergeCells count="1">
    <mergeCell ref="A3:F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pavan.kumawat</cp:lastModifiedBy>
  <cp:lastPrinted>2015-08-19T11:18:40Z</cp:lastPrinted>
  <dcterms:created xsi:type="dcterms:W3CDTF">2012-04-24T10:00:29Z</dcterms:created>
  <dcterms:modified xsi:type="dcterms:W3CDTF">2016-01-27T10:41:28Z</dcterms:modified>
  <cp:category/>
  <cp:version/>
  <cp:contentType/>
  <cp:contentStatus/>
</cp:coreProperties>
</file>